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comments2.xml" ContentType="application/vnd.openxmlformats-officedocument.spreadsheetml.comments+xml"/>
  <Override PartName="/xl/charts/chart3.xml" ContentType="application/vnd.openxmlformats-officedocument.drawingml.chart+xml"/>
  <Override PartName="/xl/charts/chart4.xml" ContentType="application/vnd.openxmlformats-officedocument.drawingml.chart+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drawings/drawing3.xml" ContentType="application/vnd.openxmlformats-officedocument.drawing+xml"/>
  <Override PartName="/xl/comments7.xml" ContentType="application/vnd.openxmlformats-officedocument.spreadsheetml.comments+xml"/>
  <Override PartName="/xl/charts/chart5.xml" ContentType="application/vnd.openxmlformats-officedocument.drawingml.chart+xml"/>
  <Override PartName="/xl/charts/chart6.xml" ContentType="application/vnd.openxmlformats-officedocument.drawingml.chart+xml"/>
  <Override PartName="/xl/ink/ink1.xml" ContentType="application/inkml+xml"/>
  <Override PartName="/xl/comments8.xml" ContentType="application/vnd.openxmlformats-officedocument.spreadsheetml.comments+xml"/>
  <Override PartName="/xl/drawings/drawing4.xml" ContentType="application/vnd.openxmlformats-officedocument.drawing+xml"/>
  <Override PartName="/xl/comments9.xml" ContentType="application/vnd.openxmlformats-officedocument.spreadsheetml.comments+xml"/>
  <Override PartName="/xl/charts/chart7.xml" ContentType="application/vnd.openxmlformats-officedocument.drawingml.chart+xml"/>
  <Override PartName="/xl/charts/chart8.xml" ContentType="application/vnd.openxmlformats-officedocument.drawingml.chart+xml"/>
  <Override PartName="/xl/drawings/drawing5.xml" ContentType="application/vnd.openxmlformats-officedocument.drawing+xml"/>
  <Override PartName="/xl/comments10.xml" ContentType="application/vnd.openxmlformats-officedocument.spreadsheetml.comments+xml"/>
  <Override PartName="/xl/charts/chart9.xml" ContentType="application/vnd.openxmlformats-officedocument.drawingml.chart+xml"/>
  <Override PartName="/xl/charts/chart10.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autoCompressPictures="0" defaultThemeVersion="124226"/>
  <mc:AlternateContent xmlns:mc="http://schemas.openxmlformats.org/markup-compatibility/2006">
    <mc:Choice Requires="x15">
      <x15ac:absPath xmlns:x15ac="http://schemas.microsoft.com/office/spreadsheetml/2010/11/ac" url="C:\Users\conno\OneDrive\Desktop\Wall Street Prep\DCF-Modeling-Course-DL-Kit\"/>
    </mc:Choice>
  </mc:AlternateContent>
  <xr:revisionPtr revIDLastSave="0" documentId="13_ncr:1_{14AED24D-97BB-4F55-9D51-3373908BA6EC}" xr6:coauthVersionLast="47" xr6:coauthVersionMax="47" xr10:uidLastSave="{00000000-0000-0000-0000-000000000000}"/>
  <bookViews>
    <workbookView xWindow="-110" yWindow="-110" windowWidth="19420" windowHeight="11500" tabRatio="736" activeTab="1" xr2:uid="{00000000-000D-0000-FFFF-FFFF00000000}"/>
  </bookViews>
  <sheets>
    <sheet name="Financials " sheetId="94" r:id="rId1"/>
    <sheet name="Simple DCF Empty" sheetId="93" r:id="rId2"/>
    <sheet name="Simple DCF Done" sheetId="98" r:id="rId3"/>
    <sheet name="WACC Empty" sheetId="96" r:id="rId4"/>
    <sheet name="WACC Done" sheetId="89" r:id="rId5"/>
    <sheet name="Shares Empty" sheetId="95" r:id="rId6"/>
    <sheet name="Shares" sheetId="97" r:id="rId7"/>
    <sheet name="DCF 1-Pager" sheetId="101" r:id="rId8"/>
    <sheet name="2019 FSM Update Complete" sheetId="84" r:id="rId9"/>
    <sheet name="Integrated DCF Empty" sheetId="99" r:id="rId10"/>
    <sheet name="Integrated DCF" sheetId="88" r:id="rId11"/>
  </sheets>
  <definedNames>
    <definedName name="CIQWBGuid" localSheetId="7" hidden="1">"DCF_complete.xlsx"</definedName>
    <definedName name="CIQWBGuid" localSheetId="10" hidden="1">"DCF_complete.xlsx"</definedName>
    <definedName name="CIQWBGuid" localSheetId="9" hidden="1">"DCF_complete.xlsx"</definedName>
    <definedName name="CIQWBGuid" localSheetId="2" hidden="1">"DCF_complete.xlsx"</definedName>
    <definedName name="CIQWBGuid" localSheetId="1" hidden="1">"DCF_complete.xlsx"</definedName>
    <definedName name="CIQWBGuid" localSheetId="4" hidden="1">"DCF_complete.xlsx"</definedName>
    <definedName name="CIQWBGuid" localSheetId="3" hidden="1">"DCF_complete.xlsx"</definedName>
    <definedName name="CIQWBGuid" hidden="1">"a611639b-bab1-425e-aaa5-008c326fdfdb"</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localSheetId="7" hidden="1">43549.6880671296</definedName>
    <definedName name="IQ_NAMES_REVISION_DATE_" localSheetId="10" hidden="1">43549.6880671296</definedName>
    <definedName name="IQ_NAMES_REVISION_DATE_" localSheetId="9" hidden="1">43549.6880671296</definedName>
    <definedName name="IQ_NAMES_REVISION_DATE_" localSheetId="2" hidden="1">43549.6880671296</definedName>
    <definedName name="IQ_NAMES_REVISION_DATE_" localSheetId="1" hidden="1">43549.6880671296</definedName>
    <definedName name="IQ_NAMES_REVISION_DATE_" localSheetId="4" hidden="1">43549.6880671296</definedName>
    <definedName name="IQ_NAMES_REVISION_DATE_" localSheetId="3" hidden="1">43549.6880671296</definedName>
    <definedName name="IQ_NAMES_REVISION_DATE_" hidden="1">43588.5561574074</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MLNK841c85bef3244d5c8fb6b3f84988d79e" localSheetId="7" hidden="1">#REF!</definedName>
    <definedName name="MLNK841c85bef3244d5c8fb6b3f84988d79e" localSheetId="10" hidden="1">#REF!</definedName>
    <definedName name="MLNK841c85bef3244d5c8fb6b3f84988d79e" localSheetId="9" hidden="1">#REF!</definedName>
    <definedName name="MLNK841c85bef3244d5c8fb6b3f84988d79e" localSheetId="2" hidden="1">#REF!</definedName>
    <definedName name="MLNK841c85bef3244d5c8fb6b3f84988d79e" localSheetId="1" hidden="1">#REF!</definedName>
    <definedName name="MLNK841c85bef3244d5c8fb6b3f84988d79e" localSheetId="4" hidden="1">#REF!</definedName>
    <definedName name="MLNK841c85bef3244d5c8fb6b3f84988d79e" localSheetId="3" hidden="1">#REF!</definedName>
    <definedName name="MLNK841c85bef3244d5c8fb6b3f84988d79e" hidden="1">#REF!</definedName>
    <definedName name="MLNKa7775792bf444a4785f8ed5c82461a24" localSheetId="7" hidden="1">#REF!</definedName>
    <definedName name="MLNKa7775792bf444a4785f8ed5c82461a24" localSheetId="10" hidden="1">#REF!</definedName>
    <definedName name="MLNKa7775792bf444a4785f8ed5c82461a24" localSheetId="9" hidden="1">#REF!</definedName>
    <definedName name="MLNKa7775792bf444a4785f8ed5c82461a24" localSheetId="2" hidden="1">#REF!</definedName>
    <definedName name="MLNKa7775792bf444a4785f8ed5c82461a24" localSheetId="1" hidden="1">#REF!</definedName>
    <definedName name="MLNKa7775792bf444a4785f8ed5c82461a24" localSheetId="4" hidden="1">#REF!</definedName>
    <definedName name="MLNKa7775792bf444a4785f8ed5c82461a24" localSheetId="3" hidden="1">#REF!</definedName>
    <definedName name="MLNKa7775792bf444a4785f8ed5c82461a24" hidden="1">#REF!</definedName>
    <definedName name="_xlnm.Print_Area" localSheetId="8">'2019 FSM Update Complete'!$C$2:$T$156</definedName>
  </definedNames>
  <calcPr calcId="191029" calcMode="autoNoTable"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1" i="96" l="1"/>
  <c r="C13" i="96" s="1"/>
  <c r="E21" i="96" s="1"/>
  <c r="C25" i="96" s="1"/>
  <c r="D19" i="96"/>
  <c r="C19" i="96"/>
  <c r="C18" i="96"/>
  <c r="E18" i="96" s="1"/>
  <c r="E19" i="96" s="1"/>
  <c r="F43" i="96"/>
  <c r="B46" i="96"/>
  <c r="H43" i="96"/>
  <c r="G43" i="96"/>
  <c r="C43" i="96"/>
  <c r="G42" i="96"/>
  <c r="I42" i="96" s="1"/>
  <c r="F42" i="96"/>
  <c r="G41" i="96"/>
  <c r="I41" i="96" s="1"/>
  <c r="F41" i="96"/>
  <c r="G40" i="96"/>
  <c r="I40" i="96" s="1"/>
  <c r="F40" i="96"/>
  <c r="C29" i="96"/>
  <c r="C30" i="96" s="1"/>
  <c r="C27" i="96"/>
  <c r="C26" i="96" s="1"/>
  <c r="F25" i="96"/>
  <c r="D25" i="96"/>
  <c r="E37" i="95"/>
  <c r="E38" i="95" s="1"/>
  <c r="E40" i="95" s="1"/>
  <c r="E41" i="95" s="1"/>
  <c r="E28" i="95"/>
  <c r="E27" i="95"/>
  <c r="E30" i="95" s="1"/>
  <c r="E31" i="95" s="1"/>
  <c r="E15" i="95"/>
  <c r="E14" i="95"/>
  <c r="E13" i="95"/>
  <c r="E12" i="95"/>
  <c r="E11" i="95"/>
  <c r="E10" i="95"/>
  <c r="E9" i="95"/>
  <c r="E18" i="95" s="1"/>
  <c r="E19" i="95" s="1"/>
  <c r="C8" i="96"/>
  <c r="C6" i="96"/>
  <c r="C7" i="96"/>
  <c r="C65" i="93"/>
  <c r="D70" i="93" s="1"/>
  <c r="C62" i="93"/>
  <c r="C57" i="93"/>
  <c r="I44" i="93"/>
  <c r="I45" i="93" s="1"/>
  <c r="I42" i="93"/>
  <c r="C43" i="93"/>
  <c r="C44" i="93" s="1"/>
  <c r="G38" i="93"/>
  <c r="H38" i="93"/>
  <c r="I38" i="93"/>
  <c r="F38" i="93"/>
  <c r="E38" i="93"/>
  <c r="F39" i="93"/>
  <c r="G39" i="93"/>
  <c r="H39" i="93"/>
  <c r="I39" i="93"/>
  <c r="E39" i="93"/>
  <c r="C38" i="93"/>
  <c r="D8" i="93"/>
  <c r="F30" i="93"/>
  <c r="G30" i="93"/>
  <c r="H30" i="93"/>
  <c r="I30" i="93"/>
  <c r="E30" i="93"/>
  <c r="F25" i="93"/>
  <c r="G25" i="93"/>
  <c r="H25" i="93"/>
  <c r="I25" i="93"/>
  <c r="E25" i="93"/>
  <c r="F16" i="93"/>
  <c r="G16" i="93"/>
  <c r="H16" i="93"/>
  <c r="I16" i="93"/>
  <c r="E16" i="93"/>
  <c r="F32" i="93"/>
  <c r="G32" i="93"/>
  <c r="H32" i="93"/>
  <c r="I32" i="93"/>
  <c r="E32" i="93"/>
  <c r="E26" i="93" s="1"/>
  <c r="I27" i="93"/>
  <c r="H27" i="93"/>
  <c r="G27" i="93"/>
  <c r="F27" i="93"/>
  <c r="E27" i="93"/>
  <c r="E23" i="93"/>
  <c r="F23" i="93"/>
  <c r="G23" i="93"/>
  <c r="H23" i="93"/>
  <c r="I23" i="93"/>
  <c r="G26" i="93"/>
  <c r="H26" i="93"/>
  <c r="I26" i="93"/>
  <c r="F21" i="93"/>
  <c r="G21" i="93"/>
  <c r="H21" i="93"/>
  <c r="I21" i="93"/>
  <c r="E21" i="93"/>
  <c r="F18" i="93"/>
  <c r="G18" i="93"/>
  <c r="H18" i="93"/>
  <c r="I18" i="93"/>
  <c r="E18" i="93"/>
  <c r="F14" i="93"/>
  <c r="G14" i="93" s="1"/>
  <c r="H14" i="93" s="1"/>
  <c r="I14" i="93" s="1"/>
  <c r="E14" i="93"/>
  <c r="H4" i="99"/>
  <c r="H4" i="88"/>
  <c r="H4" i="101"/>
  <c r="I43" i="96" l="1"/>
  <c r="C45" i="96" s="1"/>
  <c r="C46" i="96" s="1"/>
  <c r="C35" i="96" s="1"/>
  <c r="E16" i="95"/>
  <c r="E20" i="95" s="1"/>
  <c r="I51" i="93"/>
  <c r="C70" i="93"/>
  <c r="C51" i="93"/>
  <c r="C45" i="93"/>
  <c r="I46" i="93"/>
  <c r="C46" i="93"/>
  <c r="C47" i="93" s="1"/>
  <c r="C69" i="93" s="1"/>
  <c r="I47" i="93"/>
  <c r="D69" i="93" s="1"/>
  <c r="I49" i="93"/>
  <c r="I50" i="93"/>
  <c r="F26" i="93"/>
  <c r="C11" i="89"/>
  <c r="C78" i="93" l="1"/>
  <c r="C76" i="93"/>
  <c r="C71" i="93"/>
  <c r="C77" i="93"/>
  <c r="D78" i="93"/>
  <c r="D77" i="93"/>
  <c r="D76" i="93"/>
  <c r="D71" i="93"/>
  <c r="C49" i="93"/>
  <c r="C50" i="93"/>
  <c r="D37" i="93"/>
  <c r="B3" i="88" l="1"/>
  <c r="B3" i="99"/>
  <c r="C3" i="84"/>
  <c r="B3" i="101"/>
  <c r="B3" i="97"/>
  <c r="B3" i="95"/>
  <c r="B3" i="89"/>
  <c r="B3" i="96"/>
  <c r="B3" i="98"/>
  <c r="B3" i="93"/>
  <c r="Q124" i="101"/>
  <c r="O124" i="101"/>
  <c r="D124" i="101"/>
  <c r="Q123" i="101"/>
  <c r="O123" i="101"/>
  <c r="G123" i="101"/>
  <c r="E123" i="101"/>
  <c r="C123" i="101"/>
  <c r="Q122" i="101"/>
  <c r="O122" i="101"/>
  <c r="E122" i="101"/>
  <c r="C122" i="101"/>
  <c r="L97" i="101"/>
  <c r="L98" i="101" s="1"/>
  <c r="D97" i="101"/>
  <c r="D98" i="101" s="1"/>
  <c r="L95" i="101"/>
  <c r="L94" i="101" s="1"/>
  <c r="D95" i="101"/>
  <c r="D94" i="101" s="1"/>
  <c r="P93" i="101"/>
  <c r="Q93" i="101" s="1"/>
  <c r="N93" i="101"/>
  <c r="M93" i="101" s="1"/>
  <c r="H93" i="101"/>
  <c r="I93" i="101" s="1"/>
  <c r="F93" i="101"/>
  <c r="E93" i="101" s="1"/>
  <c r="L89" i="101"/>
  <c r="L88" i="101"/>
  <c r="D88" i="101"/>
  <c r="D89" i="101" s="1"/>
  <c r="L86" i="101"/>
  <c r="L85" i="101" s="1"/>
  <c r="D86" i="101"/>
  <c r="D85" i="101" s="1"/>
  <c r="P84" i="101"/>
  <c r="Q84" i="101" s="1"/>
  <c r="N84" i="101"/>
  <c r="M84" i="101" s="1"/>
  <c r="I84" i="101"/>
  <c r="H84" i="101"/>
  <c r="F84" i="101"/>
  <c r="E84" i="101"/>
  <c r="C62" i="101"/>
  <c r="C57" i="101"/>
  <c r="D37" i="101"/>
  <c r="B35" i="101"/>
  <c r="D33" i="101"/>
  <c r="E33" i="101" s="1"/>
  <c r="D32" i="101"/>
  <c r="C32" i="101"/>
  <c r="D28" i="101"/>
  <c r="E28" i="101" s="1"/>
  <c r="E27" i="101" s="1"/>
  <c r="D26" i="101"/>
  <c r="D21" i="101"/>
  <c r="D23" i="101" s="1"/>
  <c r="D19" i="101"/>
  <c r="D16" i="101"/>
  <c r="D17" i="101" s="1"/>
  <c r="E14" i="101"/>
  <c r="F14" i="101" s="1"/>
  <c r="D12" i="101"/>
  <c r="E12" i="101" s="1"/>
  <c r="E37" i="101" s="1"/>
  <c r="D5" i="101"/>
  <c r="D8" i="101" s="1"/>
  <c r="C38" i="101" s="1"/>
  <c r="C7" i="89"/>
  <c r="H43" i="89" s="1"/>
  <c r="D18" i="94"/>
  <c r="D19" i="94" s="1"/>
  <c r="E19" i="94" s="1"/>
  <c r="F19" i="94" s="1"/>
  <c r="G19" i="94" s="1"/>
  <c r="H19" i="94" s="1"/>
  <c r="I19" i="94" s="1"/>
  <c r="Q130" i="99"/>
  <c r="O130" i="99"/>
  <c r="D130" i="99"/>
  <c r="Q129" i="99"/>
  <c r="O129" i="99"/>
  <c r="G129" i="99"/>
  <c r="E129" i="99"/>
  <c r="C129" i="99"/>
  <c r="Q128" i="99"/>
  <c r="O128" i="99"/>
  <c r="E128" i="99"/>
  <c r="C128" i="99"/>
  <c r="L103" i="99"/>
  <c r="L104" i="99" s="1"/>
  <c r="D103" i="99"/>
  <c r="D104" i="99" s="1"/>
  <c r="L101" i="99"/>
  <c r="L100" i="99" s="1"/>
  <c r="D101" i="99"/>
  <c r="D100" i="99"/>
  <c r="Q99" i="99"/>
  <c r="P99" i="99"/>
  <c r="N99" i="99"/>
  <c r="M99" i="99"/>
  <c r="H99" i="99"/>
  <c r="I99" i="99" s="1"/>
  <c r="F99" i="99"/>
  <c r="E99" i="99"/>
  <c r="B128" i="99" s="1"/>
  <c r="D95" i="99"/>
  <c r="L94" i="99"/>
  <c r="L95" i="99" s="1"/>
  <c r="D94" i="99"/>
  <c r="L92" i="99"/>
  <c r="L91" i="99" s="1"/>
  <c r="D92" i="99"/>
  <c r="D91" i="99" s="1"/>
  <c r="P90" i="99"/>
  <c r="Q90" i="99" s="1"/>
  <c r="N90" i="99"/>
  <c r="M90" i="99" s="1"/>
  <c r="G128" i="99" s="1"/>
  <c r="H90" i="99"/>
  <c r="I90" i="99" s="1"/>
  <c r="F90" i="99"/>
  <c r="E90" i="99" s="1"/>
  <c r="B129" i="99" s="1"/>
  <c r="C62" i="99"/>
  <c r="C57" i="99"/>
  <c r="C55" i="99"/>
  <c r="D37" i="99"/>
  <c r="B35" i="99"/>
  <c r="D12" i="99"/>
  <c r="E12" i="99" s="1"/>
  <c r="C12" i="99"/>
  <c r="H9" i="99"/>
  <c r="D5" i="99"/>
  <c r="D8" i="99" s="1"/>
  <c r="D25" i="88"/>
  <c r="E4" i="97"/>
  <c r="E12" i="97" s="1"/>
  <c r="Q124" i="98"/>
  <c r="O124" i="98"/>
  <c r="D124" i="98"/>
  <c r="Q123" i="98"/>
  <c r="O123" i="98"/>
  <c r="G123" i="98"/>
  <c r="E123" i="98"/>
  <c r="C123" i="98"/>
  <c r="Q122" i="98"/>
  <c r="O122" i="98"/>
  <c r="E122" i="98"/>
  <c r="C122" i="98"/>
  <c r="L97" i="98"/>
  <c r="L98" i="98" s="1"/>
  <c r="D97" i="98"/>
  <c r="D98" i="98" s="1"/>
  <c r="L95" i="98"/>
  <c r="L94" i="98" s="1"/>
  <c r="D95" i="98"/>
  <c r="D94" i="98" s="1"/>
  <c r="P93" i="98"/>
  <c r="Q93" i="98" s="1"/>
  <c r="N93" i="98"/>
  <c r="M93" i="98"/>
  <c r="H93" i="98"/>
  <c r="I93" i="98" s="1"/>
  <c r="F93" i="98"/>
  <c r="E93" i="98" s="1"/>
  <c r="L88" i="98"/>
  <c r="L89" i="98" s="1"/>
  <c r="D88" i="98"/>
  <c r="D89" i="98" s="1"/>
  <c r="L86" i="98"/>
  <c r="L85" i="98" s="1"/>
  <c r="D86" i="98"/>
  <c r="D85" i="98"/>
  <c r="P84" i="98"/>
  <c r="Q84" i="98" s="1"/>
  <c r="N84" i="98"/>
  <c r="M84" i="98" s="1"/>
  <c r="H84" i="98"/>
  <c r="I84" i="98" s="1"/>
  <c r="F84" i="98"/>
  <c r="E84" i="98" s="1"/>
  <c r="B123" i="98" s="1"/>
  <c r="C62" i="98"/>
  <c r="C57" i="98"/>
  <c r="D37" i="98"/>
  <c r="B35" i="98"/>
  <c r="D32" i="98"/>
  <c r="D33" i="98" s="1"/>
  <c r="E33" i="98" s="1"/>
  <c r="C32" i="98"/>
  <c r="D28" i="98"/>
  <c r="E28" i="98" s="1"/>
  <c r="D26" i="98"/>
  <c r="D21" i="98"/>
  <c r="D23" i="98" s="1"/>
  <c r="D19" i="98"/>
  <c r="D16" i="98"/>
  <c r="D17" i="98" s="1"/>
  <c r="E14" i="98"/>
  <c r="F14" i="98" s="1"/>
  <c r="D12" i="98"/>
  <c r="E12" i="98" s="1"/>
  <c r="D5" i="98"/>
  <c r="D8" i="98" s="1"/>
  <c r="C38" i="98" s="1"/>
  <c r="E37" i="97"/>
  <c r="E38" i="97" s="1"/>
  <c r="E28" i="97"/>
  <c r="E27" i="97" s="1"/>
  <c r="C16" i="97"/>
  <c r="G124" i="101" l="1"/>
  <c r="B122" i="98"/>
  <c r="B123" i="101"/>
  <c r="E18" i="101"/>
  <c r="G122" i="101"/>
  <c r="B122" i="101"/>
  <c r="D122" i="101"/>
  <c r="G124" i="98"/>
  <c r="E11" i="97"/>
  <c r="G122" i="98"/>
  <c r="D123" i="101"/>
  <c r="P130" i="99"/>
  <c r="P122" i="101"/>
  <c r="P123" i="101"/>
  <c r="P124" i="101"/>
  <c r="F27" i="101"/>
  <c r="G14" i="101"/>
  <c r="F16" i="101"/>
  <c r="F25" i="101" s="1"/>
  <c r="F18" i="101"/>
  <c r="E32" i="101"/>
  <c r="F33" i="101"/>
  <c r="F12" i="101"/>
  <c r="E16" i="101"/>
  <c r="E25" i="101" s="1"/>
  <c r="P129" i="99"/>
  <c r="D128" i="99"/>
  <c r="P128" i="99"/>
  <c r="D129" i="99"/>
  <c r="E18" i="98"/>
  <c r="E27" i="98"/>
  <c r="E37" i="99"/>
  <c r="F12" i="99"/>
  <c r="G130" i="99"/>
  <c r="C38" i="99"/>
  <c r="P123" i="98"/>
  <c r="D123" i="98"/>
  <c r="P124" i="98"/>
  <c r="P122" i="98"/>
  <c r="D122" i="98"/>
  <c r="F12" i="98"/>
  <c r="E37" i="98"/>
  <c r="F27" i="98"/>
  <c r="G14" i="98"/>
  <c r="F16" i="98"/>
  <c r="F18" i="98"/>
  <c r="E32" i="98"/>
  <c r="F33" i="98"/>
  <c r="E16" i="98"/>
  <c r="E30" i="97"/>
  <c r="E40" i="97"/>
  <c r="E15" i="97"/>
  <c r="E13" i="97"/>
  <c r="E14" i="97"/>
  <c r="E9" i="97"/>
  <c r="E10" i="97"/>
  <c r="E21" i="101" l="1"/>
  <c r="E23" i="101" s="1"/>
  <c r="I59" i="99"/>
  <c r="I59" i="88"/>
  <c r="I59" i="101"/>
  <c r="I60" i="88"/>
  <c r="I60" i="99"/>
  <c r="I60" i="101"/>
  <c r="H14" i="101"/>
  <c r="G16" i="101"/>
  <c r="G18" i="101"/>
  <c r="G27" i="101"/>
  <c r="E26" i="101"/>
  <c r="F26" i="101"/>
  <c r="F21" i="101"/>
  <c r="F23" i="101" s="1"/>
  <c r="F30" i="101" s="1"/>
  <c r="F38" i="101" s="1"/>
  <c r="G33" i="101"/>
  <c r="F32" i="101"/>
  <c r="F37" i="101"/>
  <c r="G12" i="101"/>
  <c r="E25" i="98"/>
  <c r="E21" i="98"/>
  <c r="E23" i="98" s="1"/>
  <c r="F37" i="99"/>
  <c r="G12" i="99"/>
  <c r="E31" i="97"/>
  <c r="E41" i="97"/>
  <c r="F21" i="98"/>
  <c r="F23" i="98" s="1"/>
  <c r="F37" i="98"/>
  <c r="G12" i="98"/>
  <c r="F25" i="98"/>
  <c r="G16" i="98"/>
  <c r="G27" i="98"/>
  <c r="G18" i="98"/>
  <c r="H14" i="98"/>
  <c r="F32" i="98"/>
  <c r="F26" i="98" s="1"/>
  <c r="G33" i="98"/>
  <c r="E26" i="98"/>
  <c r="E18" i="97"/>
  <c r="E19" i="97" s="1"/>
  <c r="E16" i="97"/>
  <c r="E30" i="101" l="1"/>
  <c r="E38" i="101" s="1"/>
  <c r="C59" i="88"/>
  <c r="C59" i="101"/>
  <c r="C59" i="99"/>
  <c r="C58" i="99"/>
  <c r="C65" i="99" s="1"/>
  <c r="C70" i="99" s="1"/>
  <c r="D70" i="99" s="1"/>
  <c r="C58" i="88"/>
  <c r="C58" i="101"/>
  <c r="G37" i="101"/>
  <c r="H12" i="101"/>
  <c r="G25" i="101"/>
  <c r="G21" i="101"/>
  <c r="G23" i="101" s="1"/>
  <c r="G32" i="101"/>
  <c r="G26" i="101" s="1"/>
  <c r="H33" i="101"/>
  <c r="H16" i="101"/>
  <c r="H18" i="101"/>
  <c r="H27" i="101"/>
  <c r="I14" i="101"/>
  <c r="E30" i="98"/>
  <c r="E38" i="98" s="1"/>
  <c r="F30" i="98"/>
  <c r="F38" i="98" s="1"/>
  <c r="F39" i="98" s="1"/>
  <c r="G37" i="99"/>
  <c r="H12" i="99"/>
  <c r="C65" i="98"/>
  <c r="G37" i="98"/>
  <c r="H12" i="98"/>
  <c r="H16" i="98"/>
  <c r="H27" i="98"/>
  <c r="H18" i="98"/>
  <c r="I14" i="98"/>
  <c r="G21" i="98"/>
  <c r="G23" i="98" s="1"/>
  <c r="G25" i="98"/>
  <c r="G32" i="98"/>
  <c r="G26" i="98" s="1"/>
  <c r="H33" i="98"/>
  <c r="E20" i="97"/>
  <c r="C65" i="101" l="1"/>
  <c r="C70" i="101" s="1"/>
  <c r="D70" i="101" s="1"/>
  <c r="G30" i="101"/>
  <c r="G38" i="101" s="1"/>
  <c r="I61" i="98"/>
  <c r="I58" i="88"/>
  <c r="I58" i="101"/>
  <c r="I61" i="101" s="1"/>
  <c r="C72" i="101" s="1"/>
  <c r="D72" i="101" s="1"/>
  <c r="I58" i="99"/>
  <c r="I61" i="99" s="1"/>
  <c r="C72" i="99" s="1"/>
  <c r="D72" i="99" s="1"/>
  <c r="H32" i="101"/>
  <c r="H26" i="101" s="1"/>
  <c r="I33" i="101"/>
  <c r="I32" i="101" s="1"/>
  <c r="I16" i="101"/>
  <c r="I18" i="101"/>
  <c r="I27" i="101"/>
  <c r="H21" i="101"/>
  <c r="H23" i="101" s="1"/>
  <c r="I12" i="101"/>
  <c r="H37" i="101"/>
  <c r="H25" i="101"/>
  <c r="C70" i="98"/>
  <c r="D70" i="98" s="1"/>
  <c r="C19" i="89"/>
  <c r="C72" i="98"/>
  <c r="D72" i="98" s="1"/>
  <c r="C18" i="89"/>
  <c r="F43" i="89" s="1"/>
  <c r="G30" i="98"/>
  <c r="G38" i="98" s="1"/>
  <c r="I12" i="99"/>
  <c r="H37" i="99"/>
  <c r="H21" i="98"/>
  <c r="H23" i="98" s="1"/>
  <c r="H25" i="98"/>
  <c r="I18" i="98"/>
  <c r="I27" i="98"/>
  <c r="I16" i="98"/>
  <c r="H37" i="98"/>
  <c r="I12" i="98"/>
  <c r="I33" i="98"/>
  <c r="I32" i="98" s="1"/>
  <c r="H32" i="98"/>
  <c r="H30" i="101" l="1"/>
  <c r="H38" i="101" s="1"/>
  <c r="I21" i="101"/>
  <c r="I23" i="101"/>
  <c r="I25" i="101"/>
  <c r="I42" i="101"/>
  <c r="I44" i="101" s="1"/>
  <c r="I26" i="101"/>
  <c r="E44" i="101"/>
  <c r="B44" i="101"/>
  <c r="I37" i="101"/>
  <c r="B43" i="101"/>
  <c r="I26" i="98"/>
  <c r="H26" i="98"/>
  <c r="H30" i="98" s="1"/>
  <c r="H38" i="98" s="1"/>
  <c r="B43" i="99"/>
  <c r="E44" i="99"/>
  <c r="I37" i="99"/>
  <c r="B44" i="99"/>
  <c r="I21" i="98"/>
  <c r="I23" i="98" s="1"/>
  <c r="I25" i="98"/>
  <c r="I42" i="98"/>
  <c r="I44" i="98" s="1"/>
  <c r="E44" i="98"/>
  <c r="I37" i="98"/>
  <c r="B44" i="98"/>
  <c r="B43" i="98"/>
  <c r="I30" i="101" l="1"/>
  <c r="I30" i="98"/>
  <c r="C43" i="98" s="1"/>
  <c r="C43" i="101" l="1"/>
  <c r="I38" i="101"/>
  <c r="I38" i="98"/>
  <c r="C16" i="95" l="1"/>
  <c r="E4" i="95"/>
  <c r="L97" i="93" l="1"/>
  <c r="L98" i="93" s="1"/>
  <c r="L95" i="93"/>
  <c r="L94" i="93" s="1"/>
  <c r="P93" i="93"/>
  <c r="Q93" i="93" s="1"/>
  <c r="N93" i="93"/>
  <c r="M93" i="93" s="1"/>
  <c r="L88" i="93"/>
  <c r="L89" i="93" s="1"/>
  <c r="L86" i="93"/>
  <c r="L85" i="93"/>
  <c r="P84" i="93"/>
  <c r="Q84" i="93" s="1"/>
  <c r="N84" i="93"/>
  <c r="M84" i="93" s="1"/>
  <c r="D97" i="93"/>
  <c r="D98" i="93" s="1"/>
  <c r="D95" i="93"/>
  <c r="D94" i="93" s="1"/>
  <c r="F93" i="93"/>
  <c r="E93" i="93" s="1"/>
  <c r="I93" i="93"/>
  <c r="H93" i="93"/>
  <c r="D88" i="93"/>
  <c r="D89" i="93" s="1"/>
  <c r="D86" i="93"/>
  <c r="D85" i="93" s="1"/>
  <c r="H84" i="93"/>
  <c r="I84" i="93" s="1"/>
  <c r="E84" i="93"/>
  <c r="F84" i="93"/>
  <c r="I61" i="93" l="1"/>
  <c r="C72" i="93" s="1"/>
  <c r="E6" i="94"/>
  <c r="F6" i="94" s="1"/>
  <c r="G6" i="94" s="1"/>
  <c r="H6" i="94" s="1"/>
  <c r="I6" i="94" s="1"/>
  <c r="F8" i="94"/>
  <c r="G8" i="94" s="1"/>
  <c r="H8" i="94" s="1"/>
  <c r="I8" i="94" s="1"/>
  <c r="I12" i="94" s="1"/>
  <c r="E8" i="94"/>
  <c r="E10" i="94" s="1"/>
  <c r="E16" i="94"/>
  <c r="B35" i="93"/>
  <c r="D28" i="93"/>
  <c r="E28" i="93" s="1"/>
  <c r="D33" i="93"/>
  <c r="E33" i="93" s="1"/>
  <c r="D19" i="93"/>
  <c r="D17" i="93"/>
  <c r="C32" i="93"/>
  <c r="D26" i="93" s="1"/>
  <c r="D32" i="93"/>
  <c r="D21" i="93"/>
  <c r="D23" i="93" s="1"/>
  <c r="D16" i="93"/>
  <c r="D12" i="93"/>
  <c r="E12" i="93" s="1"/>
  <c r="C73" i="93" l="1"/>
  <c r="D72" i="93"/>
  <c r="D73" i="93" s="1"/>
  <c r="E37" i="93"/>
  <c r="F12" i="93"/>
  <c r="E12" i="94"/>
  <c r="I10" i="94"/>
  <c r="G10" i="94"/>
  <c r="H12" i="94"/>
  <c r="G12" i="94"/>
  <c r="H10" i="94"/>
  <c r="F10" i="94"/>
  <c r="F12" i="94"/>
  <c r="F33" i="93"/>
  <c r="Q124" i="93"/>
  <c r="O124" i="93"/>
  <c r="D124" i="93"/>
  <c r="Q123" i="93"/>
  <c r="O123" i="93"/>
  <c r="G123" i="93"/>
  <c r="E123" i="93"/>
  <c r="C123" i="93"/>
  <c r="Q122" i="93"/>
  <c r="O122" i="93"/>
  <c r="E122" i="93"/>
  <c r="C122" i="93"/>
  <c r="G124" i="93"/>
  <c r="B122" i="93"/>
  <c r="G122" i="93"/>
  <c r="B123" i="93"/>
  <c r="G12" i="93" l="1"/>
  <c r="F37" i="93"/>
  <c r="P123" i="93"/>
  <c r="P122" i="93"/>
  <c r="D122" i="93"/>
  <c r="G33" i="93"/>
  <c r="D123" i="93"/>
  <c r="P124" i="93"/>
  <c r="H12" i="93" l="1"/>
  <c r="G37" i="93"/>
  <c r="H33" i="93"/>
  <c r="I12" i="93" l="1"/>
  <c r="H37" i="93"/>
  <c r="I33" i="93"/>
  <c r="C57" i="88"/>
  <c r="C62" i="88"/>
  <c r="I37" i="93" l="1"/>
  <c r="E44" i="93"/>
  <c r="B44" i="93"/>
  <c r="B43" i="93"/>
  <c r="L84" i="93"/>
  <c r="D84" i="93" l="1"/>
  <c r="L93" i="93"/>
  <c r="B35" i="88"/>
  <c r="D92" i="88"/>
  <c r="D91" i="88" s="1"/>
  <c r="C13" i="89"/>
  <c r="F25" i="89"/>
  <c r="D25" i="89"/>
  <c r="C43" i="89"/>
  <c r="G42" i="89"/>
  <c r="G41" i="89"/>
  <c r="G40" i="89"/>
  <c r="C55" i="88"/>
  <c r="F42" i="89"/>
  <c r="C29" i="89"/>
  <c r="C30" i="89" s="1"/>
  <c r="C27" i="89"/>
  <c r="C26" i="89" s="1"/>
  <c r="B46" i="89"/>
  <c r="F41" i="89"/>
  <c r="F40" i="89"/>
  <c r="D19" i="89"/>
  <c r="H9" i="88"/>
  <c r="J190" i="84"/>
  <c r="K190" i="84" s="1"/>
  <c r="G186" i="84"/>
  <c r="G185" i="84"/>
  <c r="G184" i="84"/>
  <c r="G183" i="84"/>
  <c r="J186" i="84"/>
  <c r="J39" i="84" s="1"/>
  <c r="K185" i="84"/>
  <c r="K38" i="84" s="1"/>
  <c r="J185" i="84"/>
  <c r="J38" i="84" s="1"/>
  <c r="H185" i="84"/>
  <c r="H38" i="84" s="1"/>
  <c r="J184" i="84"/>
  <c r="J37" i="84" s="1"/>
  <c r="J183" i="84"/>
  <c r="J36" i="84" s="1"/>
  <c r="I183" i="84"/>
  <c r="I36" i="84" s="1"/>
  <c r="L201" i="84"/>
  <c r="L186" i="84" s="1"/>
  <c r="L39" i="84" s="1"/>
  <c r="K201" i="84"/>
  <c r="K186" i="84" s="1"/>
  <c r="K39" i="84" s="1"/>
  <c r="J201" i="84"/>
  <c r="I201" i="84"/>
  <c r="I186" i="84" s="1"/>
  <c r="I39" i="84" s="1"/>
  <c r="L203" i="84"/>
  <c r="K203" i="84"/>
  <c r="J203" i="84"/>
  <c r="I203" i="84"/>
  <c r="H203" i="84"/>
  <c r="H201" i="84"/>
  <c r="H186" i="84" s="1"/>
  <c r="H39" i="84" s="1"/>
  <c r="L197" i="84"/>
  <c r="L185" i="84" s="1"/>
  <c r="L38" i="84" s="1"/>
  <c r="K197" i="84"/>
  <c r="J197" i="84"/>
  <c r="I197" i="84"/>
  <c r="I185" i="84" s="1"/>
  <c r="I38" i="84" s="1"/>
  <c r="L199" i="84"/>
  <c r="K199" i="84"/>
  <c r="J199" i="84"/>
  <c r="I199" i="84"/>
  <c r="H199" i="84"/>
  <c r="H197" i="84"/>
  <c r="L195" i="84"/>
  <c r="K195" i="84"/>
  <c r="J195" i="84"/>
  <c r="I195" i="84"/>
  <c r="L193" i="84"/>
  <c r="L184" i="84" s="1"/>
  <c r="L37" i="84" s="1"/>
  <c r="K193" i="84"/>
  <c r="K184" i="84" s="1"/>
  <c r="K37" i="84" s="1"/>
  <c r="J193" i="84"/>
  <c r="I193" i="84"/>
  <c r="I184" i="84" s="1"/>
  <c r="I37" i="84" s="1"/>
  <c r="H195" i="84"/>
  <c r="H193" i="84"/>
  <c r="H184" i="84" s="1"/>
  <c r="H37" i="84" s="1"/>
  <c r="J191" i="84"/>
  <c r="I191" i="84"/>
  <c r="J189" i="84"/>
  <c r="I189" i="84"/>
  <c r="H191" i="84"/>
  <c r="H189" i="84"/>
  <c r="H183" i="84" s="1"/>
  <c r="H36" i="84" s="1"/>
  <c r="D181" i="84"/>
  <c r="C12" i="88"/>
  <c r="L190" i="84" l="1"/>
  <c r="K189" i="84"/>
  <c r="K183" i="84" s="1"/>
  <c r="K36" i="84" s="1"/>
  <c r="K191" i="84"/>
  <c r="D93" i="93"/>
  <c r="I42" i="89"/>
  <c r="I40" i="89"/>
  <c r="I41" i="89"/>
  <c r="L191" i="84"/>
  <c r="L189" i="84"/>
  <c r="L183" i="84" s="1"/>
  <c r="L36" i="84" s="1"/>
  <c r="I61" i="88" l="1"/>
  <c r="D37" i="88" l="1"/>
  <c r="D12" i="88"/>
  <c r="F27" i="88"/>
  <c r="E27" i="88"/>
  <c r="D14" i="88"/>
  <c r="E12" i="88" l="1"/>
  <c r="F12" i="88" l="1"/>
  <c r="E37" i="88"/>
  <c r="G12" i="88" l="1"/>
  <c r="F37" i="88"/>
  <c r="Q130" i="88"/>
  <c r="O130" i="88"/>
  <c r="D130" i="88"/>
  <c r="Q129" i="88"/>
  <c r="O129" i="88"/>
  <c r="G129" i="88"/>
  <c r="E129" i="88"/>
  <c r="C129" i="88"/>
  <c r="Q128" i="88"/>
  <c r="O128" i="88"/>
  <c r="E128" i="88"/>
  <c r="C128" i="88"/>
  <c r="L103" i="88"/>
  <c r="L104" i="88" s="1"/>
  <c r="D103" i="88"/>
  <c r="D104" i="88" s="1"/>
  <c r="L101" i="88"/>
  <c r="L100" i="88" s="1"/>
  <c r="D101" i="88"/>
  <c r="D100" i="88" s="1"/>
  <c r="P99" i="88"/>
  <c r="Q99" i="88" s="1"/>
  <c r="N99" i="88"/>
  <c r="M99" i="88" s="1"/>
  <c r="H99" i="88"/>
  <c r="I99" i="88" s="1"/>
  <c r="F99" i="88"/>
  <c r="E99" i="88" s="1"/>
  <c r="B128" i="88" s="1"/>
  <c r="L94" i="88"/>
  <c r="L95" i="88" s="1"/>
  <c r="D94" i="88"/>
  <c r="D95" i="88" s="1"/>
  <c r="L92" i="88"/>
  <c r="L91" i="88" s="1"/>
  <c r="P90" i="88"/>
  <c r="Q90" i="88" s="1"/>
  <c r="N90" i="88"/>
  <c r="M90" i="88" s="1"/>
  <c r="H90" i="88"/>
  <c r="I90" i="88" s="1"/>
  <c r="F90" i="88"/>
  <c r="E90" i="88" s="1"/>
  <c r="D5" i="88"/>
  <c r="D8" i="88" s="1"/>
  <c r="H12" i="88" l="1"/>
  <c r="G37" i="88"/>
  <c r="P128" i="88"/>
  <c r="P130" i="88"/>
  <c r="P129" i="88"/>
  <c r="D128" i="88"/>
  <c r="B129" i="88"/>
  <c r="D129" i="88"/>
  <c r="G130" i="88"/>
  <c r="G128" i="88"/>
  <c r="C72" i="88"/>
  <c r="D72" i="88" s="1"/>
  <c r="C38" i="88" l="1"/>
  <c r="I12" i="88"/>
  <c r="H37" i="88"/>
  <c r="B43" i="88" l="1"/>
  <c r="E44" i="88"/>
  <c r="B44" i="88"/>
  <c r="I37" i="88"/>
  <c r="H174" i="84" l="1"/>
  <c r="F160" i="84"/>
  <c r="F156" i="84"/>
  <c r="E156" i="84"/>
  <c r="D156" i="84"/>
  <c r="E146" i="84"/>
  <c r="E147" i="84" s="1"/>
  <c r="D142" i="84"/>
  <c r="F119" i="84"/>
  <c r="D119" i="84"/>
  <c r="E112" i="84"/>
  <c r="D106" i="84"/>
  <c r="D104" i="84" s="1"/>
  <c r="D105" i="84" s="1"/>
  <c r="D99" i="84"/>
  <c r="E99" i="84"/>
  <c r="F64" i="84"/>
  <c r="E62" i="84"/>
  <c r="E64" i="84" s="1"/>
  <c r="G57" i="84"/>
  <c r="G48" i="84"/>
  <c r="D32" i="88" s="1"/>
  <c r="G45" i="84"/>
  <c r="F57" i="84"/>
  <c r="F59" i="84" s="1"/>
  <c r="E57" i="84"/>
  <c r="E150" i="84" s="1"/>
  <c r="E55" i="84"/>
  <c r="F48" i="84"/>
  <c r="E48" i="84"/>
  <c r="F45" i="84"/>
  <c r="E45" i="84"/>
  <c r="F39" i="84"/>
  <c r="E39" i="84"/>
  <c r="D39" i="84"/>
  <c r="F38" i="84"/>
  <c r="E38" i="84"/>
  <c r="D38" i="84"/>
  <c r="F36" i="84"/>
  <c r="E36" i="84"/>
  <c r="F19" i="84"/>
  <c r="F37" i="84" s="1"/>
  <c r="E19" i="84"/>
  <c r="E37" i="84" s="1"/>
  <c r="D19" i="84"/>
  <c r="D37" i="84" s="1"/>
  <c r="D33" i="88" l="1"/>
  <c r="J97" i="84"/>
  <c r="E59" i="84"/>
  <c r="F51" i="84"/>
  <c r="E119" i="84"/>
  <c r="E51" i="84"/>
  <c r="D22" i="84"/>
  <c r="E22" i="84"/>
  <c r="F22" i="84"/>
  <c r="G156" i="84"/>
  <c r="H155" i="84"/>
  <c r="I155" i="84" s="1"/>
  <c r="J155" i="84" s="1"/>
  <c r="K155" i="84" s="1"/>
  <c r="L155" i="84" s="1"/>
  <c r="G146" i="84"/>
  <c r="F146" i="84"/>
  <c r="F147" i="84" s="1"/>
  <c r="H145" i="84"/>
  <c r="I145" i="84" s="1"/>
  <c r="J145" i="84" s="1"/>
  <c r="K145" i="84" s="1"/>
  <c r="L145" i="84" s="1"/>
  <c r="G142" i="84"/>
  <c r="F142" i="84"/>
  <c r="E142" i="84"/>
  <c r="E152" i="84" s="1"/>
  <c r="E151" i="84" s="1"/>
  <c r="C140" i="84"/>
  <c r="C139" i="84"/>
  <c r="G135" i="84"/>
  <c r="H132" i="84" s="1"/>
  <c r="F135" i="84"/>
  <c r="E135" i="84"/>
  <c r="C123" i="84"/>
  <c r="C122" i="84"/>
  <c r="G119" i="84"/>
  <c r="H115" i="84" s="1"/>
  <c r="H118" i="84"/>
  <c r="I118" i="84" s="1"/>
  <c r="G112" i="84"/>
  <c r="H109" i="84" s="1"/>
  <c r="F112" i="84"/>
  <c r="G106" i="84"/>
  <c r="G104" i="84" s="1"/>
  <c r="G105" i="84" s="1"/>
  <c r="H105" i="84" s="1"/>
  <c r="F106" i="84"/>
  <c r="F104" i="84" s="1"/>
  <c r="F105" i="84" s="1"/>
  <c r="E106" i="84"/>
  <c r="E104" i="84" s="1"/>
  <c r="E105" i="84" s="1"/>
  <c r="G101" i="84"/>
  <c r="F101" i="84"/>
  <c r="E101" i="84"/>
  <c r="G99" i="84"/>
  <c r="H96" i="84" s="1"/>
  <c r="F99" i="84"/>
  <c r="C94" i="84"/>
  <c r="C93" i="84"/>
  <c r="I81" i="84"/>
  <c r="I82" i="84" s="1"/>
  <c r="H81" i="84"/>
  <c r="H82" i="84" s="1"/>
  <c r="C70" i="84"/>
  <c r="C69" i="84"/>
  <c r="G64" i="84"/>
  <c r="H63" i="84"/>
  <c r="I63" i="84" s="1"/>
  <c r="J63" i="84" s="1"/>
  <c r="K63" i="84" s="1"/>
  <c r="L63" i="84" s="1"/>
  <c r="H58" i="84"/>
  <c r="H78" i="84" s="1"/>
  <c r="G150" i="84"/>
  <c r="F150" i="84"/>
  <c r="G59" i="84"/>
  <c r="H54" i="84"/>
  <c r="I54" i="84" s="1"/>
  <c r="J54" i="84" s="1"/>
  <c r="H50" i="84"/>
  <c r="H112" i="84" s="1"/>
  <c r="H48" i="84"/>
  <c r="I48" i="84" s="1"/>
  <c r="J48" i="84" s="1"/>
  <c r="H46" i="84"/>
  <c r="G51" i="84"/>
  <c r="C44" i="84"/>
  <c r="C43" i="84"/>
  <c r="G39" i="84"/>
  <c r="G38" i="84"/>
  <c r="G36" i="84"/>
  <c r="H32" i="84"/>
  <c r="H25" i="84"/>
  <c r="I25" i="84" s="1"/>
  <c r="J25" i="84" s="1"/>
  <c r="K25" i="84" s="1"/>
  <c r="L25" i="84" s="1"/>
  <c r="G19" i="84"/>
  <c r="G37" i="84" s="1"/>
  <c r="H17" i="84"/>
  <c r="G15" i="84"/>
  <c r="G14" i="84"/>
  <c r="C2" i="84"/>
  <c r="J81" i="84" l="1"/>
  <c r="I17" i="84"/>
  <c r="E14" i="88"/>
  <c r="K97" i="84"/>
  <c r="G27" i="88"/>
  <c r="E66" i="84"/>
  <c r="G147" i="84"/>
  <c r="G152" i="84" s="1"/>
  <c r="G151" i="84" s="1"/>
  <c r="H151" i="84" s="1"/>
  <c r="H101" i="84"/>
  <c r="I101" i="84" s="1"/>
  <c r="I32" i="84"/>
  <c r="I170" i="84" s="1"/>
  <c r="H170" i="84"/>
  <c r="G43" i="84"/>
  <c r="G159" i="84"/>
  <c r="G140" i="84"/>
  <c r="G160" i="84"/>
  <c r="I58" i="84"/>
  <c r="I78" i="84" s="1"/>
  <c r="H86" i="84"/>
  <c r="H169" i="84" s="1"/>
  <c r="G66" i="84"/>
  <c r="F31" i="84"/>
  <c r="F33" i="84" s="1"/>
  <c r="F26" i="84"/>
  <c r="E26" i="84"/>
  <c r="E31" i="84"/>
  <c r="E33" i="84" s="1"/>
  <c r="D26" i="84"/>
  <c r="D31" i="84"/>
  <c r="D33" i="84" s="1"/>
  <c r="K54" i="84"/>
  <c r="L54" i="84" s="1"/>
  <c r="H55" i="84"/>
  <c r="I55" i="84" s="1"/>
  <c r="J55" i="84" s="1"/>
  <c r="K55" i="84" s="1"/>
  <c r="L55" i="84" s="1"/>
  <c r="K48" i="84"/>
  <c r="L48" i="84" s="1"/>
  <c r="F66" i="84"/>
  <c r="H19" i="84"/>
  <c r="H18" i="84" s="1"/>
  <c r="H47" i="84" s="1"/>
  <c r="H75" i="84" s="1"/>
  <c r="H20" i="84"/>
  <c r="H21" i="84"/>
  <c r="G22" i="84"/>
  <c r="D18" i="88" s="1"/>
  <c r="D19" i="88" s="1"/>
  <c r="F14" i="84"/>
  <c r="F122" i="84" s="1"/>
  <c r="F140" i="84"/>
  <c r="I109" i="84"/>
  <c r="H104" i="84"/>
  <c r="H110" i="84" s="1"/>
  <c r="H111" i="84" s="1"/>
  <c r="H77" i="84" s="1"/>
  <c r="I105" i="84"/>
  <c r="J118" i="84"/>
  <c r="I86" i="84"/>
  <c r="I169" i="84" s="1"/>
  <c r="F152" i="84"/>
  <c r="F151" i="84" s="1"/>
  <c r="I50" i="84"/>
  <c r="H74" i="84"/>
  <c r="G93" i="84"/>
  <c r="I46" i="84"/>
  <c r="G94" i="84"/>
  <c r="H126" i="84"/>
  <c r="H14" i="84"/>
  <c r="H15" i="84"/>
  <c r="H57" i="84"/>
  <c r="G122" i="84"/>
  <c r="G139" i="84"/>
  <c r="G44" i="84"/>
  <c r="H61" i="84"/>
  <c r="G123" i="84"/>
  <c r="E28" i="88" l="1"/>
  <c r="C14" i="88"/>
  <c r="H160" i="84"/>
  <c r="H182" i="84"/>
  <c r="H159" i="84"/>
  <c r="H181" i="84"/>
  <c r="H98" i="84"/>
  <c r="H99" i="84" s="1"/>
  <c r="H49" i="84" s="1"/>
  <c r="J82" i="84"/>
  <c r="H27" i="88"/>
  <c r="I20" i="84"/>
  <c r="I21" i="84"/>
  <c r="L97" i="84"/>
  <c r="J17" i="84"/>
  <c r="E15" i="88"/>
  <c r="I19" i="84"/>
  <c r="I18" i="84" s="1"/>
  <c r="I47" i="84" s="1"/>
  <c r="I75" i="84" s="1"/>
  <c r="F14" i="88"/>
  <c r="H163" i="84"/>
  <c r="H166" i="84" s="1"/>
  <c r="J32" i="84"/>
  <c r="J170" i="84" s="1"/>
  <c r="J58" i="84"/>
  <c r="K58" i="84" s="1"/>
  <c r="I74" i="84"/>
  <c r="F43" i="84"/>
  <c r="F159" i="84"/>
  <c r="H175" i="84"/>
  <c r="H176" i="84" s="1"/>
  <c r="D40" i="84"/>
  <c r="D28" i="84"/>
  <c r="E40" i="84"/>
  <c r="E28" i="84"/>
  <c r="F40" i="84"/>
  <c r="F28" i="84"/>
  <c r="K81" i="84"/>
  <c r="H53" i="84"/>
  <c r="F93" i="84"/>
  <c r="H22" i="84"/>
  <c r="G31" i="84"/>
  <c r="G26" i="84"/>
  <c r="F44" i="84"/>
  <c r="E15" i="84"/>
  <c r="F123" i="84"/>
  <c r="F139" i="84"/>
  <c r="F94" i="84"/>
  <c r="E14" i="84"/>
  <c r="E159" i="84" s="1"/>
  <c r="J105" i="84"/>
  <c r="I104" i="84"/>
  <c r="I110" i="84" s="1"/>
  <c r="J101" i="84"/>
  <c r="I98" i="84"/>
  <c r="J46" i="84"/>
  <c r="I112" i="84"/>
  <c r="J50" i="84"/>
  <c r="I151" i="84"/>
  <c r="H140" i="84"/>
  <c r="H123" i="84"/>
  <c r="H44" i="84"/>
  <c r="I15" i="84"/>
  <c r="H94" i="84"/>
  <c r="H70" i="84"/>
  <c r="I61" i="84"/>
  <c r="H43" i="84"/>
  <c r="H139" i="84"/>
  <c r="H122" i="84"/>
  <c r="I14" i="84"/>
  <c r="H69" i="84"/>
  <c r="H93" i="84"/>
  <c r="K118" i="84"/>
  <c r="J86" i="84"/>
  <c r="J169" i="84" s="1"/>
  <c r="I57" i="84"/>
  <c r="H150" i="84"/>
  <c r="H152" i="84" s="1"/>
  <c r="H84" i="84"/>
  <c r="I160" i="84" l="1"/>
  <c r="I182" i="84"/>
  <c r="I159" i="84"/>
  <c r="I181" i="84"/>
  <c r="I96" i="84"/>
  <c r="H106" i="84"/>
  <c r="H30" i="84" s="1"/>
  <c r="H31" i="84" s="1"/>
  <c r="K82" i="84"/>
  <c r="E18" i="88"/>
  <c r="F15" i="88"/>
  <c r="F28" i="88"/>
  <c r="G14" i="88"/>
  <c r="I27" i="88"/>
  <c r="L81" i="84"/>
  <c r="J20" i="84"/>
  <c r="K17" i="84"/>
  <c r="J21" i="84"/>
  <c r="J19" i="84"/>
  <c r="J18" i="84" s="1"/>
  <c r="J47" i="84" s="1"/>
  <c r="J75" i="84" s="1"/>
  <c r="I22" i="84"/>
  <c r="I53" i="84"/>
  <c r="F32" i="88" s="1"/>
  <c r="F33" i="88" s="1"/>
  <c r="G33" i="84"/>
  <c r="D16" i="88"/>
  <c r="E32" i="88"/>
  <c r="K32" i="84"/>
  <c r="K170" i="84" s="1"/>
  <c r="J74" i="84"/>
  <c r="J78" i="84"/>
  <c r="D116" i="84"/>
  <c r="D162" i="84"/>
  <c r="H177" i="84"/>
  <c r="I174" i="84"/>
  <c r="F116" i="84"/>
  <c r="F162" i="84"/>
  <c r="E116" i="84"/>
  <c r="E162" i="84"/>
  <c r="E44" i="84"/>
  <c r="E160" i="84"/>
  <c r="E139" i="84"/>
  <c r="D14" i="84"/>
  <c r="D159" i="84" s="1"/>
  <c r="E43" i="84"/>
  <c r="E140" i="84"/>
  <c r="D15" i="84"/>
  <c r="D160" i="84" s="1"/>
  <c r="H76" i="84"/>
  <c r="E93" i="84"/>
  <c r="E94" i="84"/>
  <c r="G28" i="84"/>
  <c r="G40" i="84"/>
  <c r="E122" i="84"/>
  <c r="E123" i="84"/>
  <c r="J57" i="84"/>
  <c r="I84" i="84"/>
  <c r="I150" i="84"/>
  <c r="I152" i="84" s="1"/>
  <c r="J151" i="84"/>
  <c r="K105" i="84"/>
  <c r="J104" i="84"/>
  <c r="J110" i="84" s="1"/>
  <c r="J61" i="84"/>
  <c r="J112" i="84"/>
  <c r="K50" i="84"/>
  <c r="I111" i="84"/>
  <c r="I77" i="84" s="1"/>
  <c r="J109" i="84"/>
  <c r="I106" i="84"/>
  <c r="I30" i="84" s="1"/>
  <c r="I99" i="84"/>
  <c r="I43" i="84"/>
  <c r="I139" i="84"/>
  <c r="I122" i="84"/>
  <c r="J14" i="84"/>
  <c r="I69" i="84"/>
  <c r="I93" i="84"/>
  <c r="I140" i="84"/>
  <c r="I123" i="84"/>
  <c r="I44" i="84"/>
  <c r="J15" i="84"/>
  <c r="I94" i="84"/>
  <c r="I70" i="84"/>
  <c r="K101" i="84"/>
  <c r="J98" i="84"/>
  <c r="K86" i="84"/>
  <c r="K169" i="84" s="1"/>
  <c r="L118" i="84"/>
  <c r="L86" i="84" s="1"/>
  <c r="L169" i="84" s="1"/>
  <c r="K46" i="84"/>
  <c r="L58" i="84"/>
  <c r="L78" i="84" s="1"/>
  <c r="K78" i="84"/>
  <c r="E19" i="88" l="1"/>
  <c r="C18" i="88"/>
  <c r="E25" i="88"/>
  <c r="H73" i="84"/>
  <c r="J159" i="84"/>
  <c r="J181" i="84"/>
  <c r="J160" i="84"/>
  <c r="J182" i="84"/>
  <c r="E38" i="99"/>
  <c r="L82" i="84"/>
  <c r="F25" i="88"/>
  <c r="F18" i="88"/>
  <c r="G15" i="88"/>
  <c r="G28" i="88"/>
  <c r="H14" i="88"/>
  <c r="K20" i="84"/>
  <c r="I76" i="84"/>
  <c r="J22" i="84"/>
  <c r="K19" i="84"/>
  <c r="K18" i="84" s="1"/>
  <c r="K47" i="84" s="1"/>
  <c r="K21" i="84"/>
  <c r="L17" i="84"/>
  <c r="H40" i="84"/>
  <c r="D22" i="88"/>
  <c r="D21" i="88" s="1"/>
  <c r="F26" i="88"/>
  <c r="E33" i="88"/>
  <c r="E26" i="88"/>
  <c r="K74" i="84"/>
  <c r="D17" i="88"/>
  <c r="L32" i="84"/>
  <c r="L170" i="84" s="1"/>
  <c r="H33" i="84"/>
  <c r="E16" i="88"/>
  <c r="C16" i="88" s="1"/>
  <c r="E164" i="84"/>
  <c r="E167" i="84"/>
  <c r="F167" i="84"/>
  <c r="F164" i="84"/>
  <c r="G116" i="84"/>
  <c r="G162" i="84"/>
  <c r="D167" i="84"/>
  <c r="D164" i="84"/>
  <c r="J106" i="84"/>
  <c r="J30" i="84" s="1"/>
  <c r="J53" i="84"/>
  <c r="J76" i="84" s="1"/>
  <c r="I73" i="84"/>
  <c r="I31" i="84"/>
  <c r="L46" i="84"/>
  <c r="K15" i="84"/>
  <c r="J94" i="84"/>
  <c r="J70" i="84"/>
  <c r="J44" i="84"/>
  <c r="J140" i="84"/>
  <c r="J123" i="84"/>
  <c r="I49" i="84"/>
  <c r="J96" i="84"/>
  <c r="J99" i="84" s="1"/>
  <c r="L105" i="84"/>
  <c r="K104" i="84"/>
  <c r="K110" i="84" s="1"/>
  <c r="K109" i="84"/>
  <c r="J111" i="84"/>
  <c r="J77" i="84" s="1"/>
  <c r="K151" i="84"/>
  <c r="K57" i="84"/>
  <c r="J84" i="84"/>
  <c r="J150" i="84"/>
  <c r="J152" i="84" s="1"/>
  <c r="J139" i="84"/>
  <c r="J122" i="84"/>
  <c r="K14" i="84"/>
  <c r="J69" i="84"/>
  <c r="J93" i="84"/>
  <c r="J43" i="84"/>
  <c r="K112" i="84"/>
  <c r="L50" i="84"/>
  <c r="L112" i="84" s="1"/>
  <c r="L101" i="84"/>
  <c r="L98" i="84" s="1"/>
  <c r="K98" i="84"/>
  <c r="K61" i="84"/>
  <c r="K159" i="84" l="1"/>
  <c r="K181" i="84"/>
  <c r="K160" i="84"/>
  <c r="K182" i="84"/>
  <c r="F38" i="99"/>
  <c r="F19" i="88"/>
  <c r="G25" i="88"/>
  <c r="G18" i="88"/>
  <c r="G19" i="88" s="1"/>
  <c r="H15" i="88"/>
  <c r="H28" i="88"/>
  <c r="I14" i="88"/>
  <c r="I28" i="88" s="1"/>
  <c r="K22" i="84"/>
  <c r="L104" i="84"/>
  <c r="L110" i="84" s="1"/>
  <c r="L20" i="84"/>
  <c r="L21" i="84"/>
  <c r="L19" i="84"/>
  <c r="L18" i="84" s="1"/>
  <c r="L74" i="84"/>
  <c r="G32" i="88"/>
  <c r="G33" i="88" s="1"/>
  <c r="J73" i="84"/>
  <c r="E17" i="88"/>
  <c r="I33" i="84"/>
  <c r="F16" i="88"/>
  <c r="D23" i="88"/>
  <c r="I40" i="84"/>
  <c r="E22" i="88"/>
  <c r="E21" i="88" s="1"/>
  <c r="G164" i="84"/>
  <c r="G167" i="84"/>
  <c r="J31" i="84"/>
  <c r="K53" i="84"/>
  <c r="L109" i="84"/>
  <c r="K111" i="84"/>
  <c r="K77" i="84" s="1"/>
  <c r="J49" i="84"/>
  <c r="K96" i="84"/>
  <c r="K99" i="84" s="1"/>
  <c r="K94" i="84"/>
  <c r="K70" i="84"/>
  <c r="K140" i="84"/>
  <c r="K123" i="84"/>
  <c r="K44" i="84"/>
  <c r="L15" i="84"/>
  <c r="K84" i="84"/>
  <c r="K150" i="84"/>
  <c r="K152" i="84" s="1"/>
  <c r="L57" i="84"/>
  <c r="K75" i="84"/>
  <c r="L151" i="84"/>
  <c r="K106" i="84"/>
  <c r="K30" i="84" s="1"/>
  <c r="K69" i="84"/>
  <c r="K93" i="84"/>
  <c r="K122" i="84"/>
  <c r="K43" i="84"/>
  <c r="K139" i="84"/>
  <c r="L14" i="84"/>
  <c r="L181" i="84" s="1"/>
  <c r="L61" i="84"/>
  <c r="L160" i="84" l="1"/>
  <c r="L182" i="84"/>
  <c r="H18" i="88"/>
  <c r="H19" i="88" s="1"/>
  <c r="H25" i="88"/>
  <c r="I15" i="88"/>
  <c r="K76" i="84"/>
  <c r="L111" i="84"/>
  <c r="L77" i="84" s="1"/>
  <c r="L106" i="84"/>
  <c r="L30" i="84" s="1"/>
  <c r="L22" i="84"/>
  <c r="G26" i="88"/>
  <c r="K73" i="84"/>
  <c r="J40" i="84"/>
  <c r="F22" i="88"/>
  <c r="F21" i="88" s="1"/>
  <c r="J33" i="84"/>
  <c r="G16" i="88"/>
  <c r="F17" i="88"/>
  <c r="E23" i="88"/>
  <c r="H32" i="88"/>
  <c r="L159" i="84"/>
  <c r="L122" i="84"/>
  <c r="L53" i="84"/>
  <c r="L76" i="84" s="1"/>
  <c r="K31" i="84"/>
  <c r="L84" i="84"/>
  <c r="L150" i="84"/>
  <c r="L152" i="84" s="1"/>
  <c r="L93" i="84"/>
  <c r="L69" i="84"/>
  <c r="L43" i="84"/>
  <c r="L139" i="84"/>
  <c r="K49" i="84"/>
  <c r="L96" i="84"/>
  <c r="L99" i="84" s="1"/>
  <c r="L49" i="84" s="1"/>
  <c r="L70" i="84"/>
  <c r="L94" i="84"/>
  <c r="L140" i="84"/>
  <c r="L123" i="84"/>
  <c r="L44" i="84"/>
  <c r="L47" i="84"/>
  <c r="H38" i="99" l="1"/>
  <c r="I18" i="88"/>
  <c r="I19" i="88" s="1"/>
  <c r="G38" i="99"/>
  <c r="I25" i="88"/>
  <c r="E30" i="88"/>
  <c r="L73" i="84"/>
  <c r="L31" i="84"/>
  <c r="G17" i="88"/>
  <c r="H33" i="88"/>
  <c r="H26" i="88"/>
  <c r="K40" i="84"/>
  <c r="G22" i="88"/>
  <c r="G21" i="88" s="1"/>
  <c r="L75" i="84"/>
  <c r="I32" i="88"/>
  <c r="I33" i="88" s="1"/>
  <c r="K33" i="84"/>
  <c r="H16" i="88"/>
  <c r="F23" i="88"/>
  <c r="I42" i="99" l="1"/>
  <c r="I44" i="99" s="1"/>
  <c r="E38" i="88"/>
  <c r="F30" i="88"/>
  <c r="L33" i="84"/>
  <c r="I16" i="88"/>
  <c r="L40" i="84"/>
  <c r="I22" i="88" s="1"/>
  <c r="I21" i="88" s="1"/>
  <c r="H22" i="88"/>
  <c r="H21" i="88" s="1"/>
  <c r="H17" i="88"/>
  <c r="I26" i="88"/>
  <c r="G23" i="88"/>
  <c r="I38" i="99" l="1"/>
  <c r="C8" i="89"/>
  <c r="F38" i="88"/>
  <c r="I42" i="88"/>
  <c r="I44" i="88" s="1"/>
  <c r="G30" i="88"/>
  <c r="I23" i="88"/>
  <c r="I17" i="88"/>
  <c r="H23" i="88"/>
  <c r="C43" i="99" l="1"/>
  <c r="G38" i="88"/>
  <c r="H30" i="88"/>
  <c r="I30" i="88"/>
  <c r="H38" i="88" l="1"/>
  <c r="I38" i="88"/>
  <c r="C43" i="88" l="1"/>
  <c r="C65" i="88" l="1"/>
  <c r="C70" i="88" l="1"/>
  <c r="D70" i="88" s="1"/>
  <c r="G43" i="89" l="1"/>
  <c r="I43" i="89" s="1"/>
  <c r="C45" i="89" s="1"/>
  <c r="C46" i="89" s="1"/>
  <c r="C35" i="89" s="1"/>
  <c r="E18" i="89"/>
  <c r="E19" i="89" s="1"/>
  <c r="E21" i="89" l="1"/>
  <c r="I51" i="88" l="1"/>
  <c r="C25" i="89"/>
  <c r="E39" i="101" l="1"/>
  <c r="F39" i="101"/>
  <c r="G39" i="101"/>
  <c r="H39" i="101"/>
  <c r="I45" i="101"/>
  <c r="C44" i="101"/>
  <c r="I39" i="101"/>
  <c r="I51" i="101"/>
  <c r="E39" i="99"/>
  <c r="F39" i="99"/>
  <c r="G39" i="99"/>
  <c r="H39" i="99"/>
  <c r="I45" i="99"/>
  <c r="I51" i="99"/>
  <c r="I39" i="99"/>
  <c r="C44" i="99"/>
  <c r="I45" i="88"/>
  <c r="I39" i="98"/>
  <c r="I45" i="98"/>
  <c r="H39" i="98"/>
  <c r="C44" i="98"/>
  <c r="E39" i="98"/>
  <c r="G39" i="98"/>
  <c r="I51" i="98"/>
  <c r="C44" i="88"/>
  <c r="E39" i="88"/>
  <c r="F39" i="88"/>
  <c r="G39" i="88"/>
  <c r="H39" i="88"/>
  <c r="I39" i="88"/>
  <c r="C46" i="101" l="1"/>
  <c r="I46" i="101" s="1"/>
  <c r="I47" i="101" s="1"/>
  <c r="D69" i="101" s="1"/>
  <c r="D78" i="101" s="1"/>
  <c r="C51" i="101"/>
  <c r="C45" i="101"/>
  <c r="C46" i="99"/>
  <c r="I46" i="99" s="1"/>
  <c r="I47" i="99" s="1"/>
  <c r="D69" i="99" s="1"/>
  <c r="D83" i="99" s="1"/>
  <c r="C51" i="99"/>
  <c r="C45" i="99"/>
  <c r="C46" i="98"/>
  <c r="I46" i="98" s="1"/>
  <c r="C51" i="98"/>
  <c r="C45" i="98"/>
  <c r="C45" i="88"/>
  <c r="C51" i="88"/>
  <c r="C46" i="88"/>
  <c r="I49" i="101" l="1"/>
  <c r="I50" i="101"/>
  <c r="C47" i="101"/>
  <c r="C49" i="101" s="1"/>
  <c r="D77" i="101"/>
  <c r="L93" i="101" s="1"/>
  <c r="D71" i="101"/>
  <c r="D76" i="101"/>
  <c r="D79" i="99"/>
  <c r="D82" i="99"/>
  <c r="D71" i="99"/>
  <c r="D73" i="99" s="1"/>
  <c r="D99" i="99" s="1"/>
  <c r="D84" i="99"/>
  <c r="D77" i="99"/>
  <c r="D78" i="99"/>
  <c r="L99" i="99" s="1"/>
  <c r="I49" i="99"/>
  <c r="I50" i="99" s="1"/>
  <c r="C47" i="99"/>
  <c r="C69" i="99" s="1"/>
  <c r="C47" i="98"/>
  <c r="C50" i="98" s="1"/>
  <c r="I47" i="98"/>
  <c r="I50" i="98" s="1"/>
  <c r="I46" i="88"/>
  <c r="I47" i="88" s="1"/>
  <c r="C47" i="88"/>
  <c r="C69" i="88" s="1"/>
  <c r="D73" i="101" l="1"/>
  <c r="D93" i="101" s="1"/>
  <c r="C69" i="101"/>
  <c r="C78" i="101" s="1"/>
  <c r="C50" i="101"/>
  <c r="C49" i="99"/>
  <c r="C50" i="99" s="1"/>
  <c r="C78" i="99"/>
  <c r="L90" i="99" s="1"/>
  <c r="C84" i="99"/>
  <c r="C82" i="99"/>
  <c r="C77" i="99"/>
  <c r="C79" i="99"/>
  <c r="C71" i="99"/>
  <c r="C73" i="99" s="1"/>
  <c r="D90" i="99" s="1"/>
  <c r="C83" i="99"/>
  <c r="C69" i="98"/>
  <c r="C49" i="98"/>
  <c r="D69" i="98"/>
  <c r="D78" i="98" s="1"/>
  <c r="I49" i="98"/>
  <c r="C82" i="88"/>
  <c r="C77" i="88"/>
  <c r="C83" i="88"/>
  <c r="C78" i="88"/>
  <c r="L90" i="88" s="1"/>
  <c r="C84" i="88"/>
  <c r="C71" i="88"/>
  <c r="C73" i="88" s="1"/>
  <c r="D90" i="88" s="1"/>
  <c r="C79" i="88"/>
  <c r="D69" i="88"/>
  <c r="I49" i="88"/>
  <c r="I50" i="88" s="1"/>
  <c r="C49" i="88"/>
  <c r="C50" i="88" s="1"/>
  <c r="C77" i="98" l="1"/>
  <c r="L84" i="98" s="1"/>
  <c r="C78" i="98"/>
  <c r="C77" i="101"/>
  <c r="L84" i="101" s="1"/>
  <c r="C71" i="101"/>
  <c r="C76" i="101"/>
  <c r="C71" i="98"/>
  <c r="C76" i="98"/>
  <c r="D71" i="98"/>
  <c r="D77" i="98"/>
  <c r="L93" i="98" s="1"/>
  <c r="D76" i="98"/>
  <c r="D71" i="88"/>
  <c r="D73" i="88" s="1"/>
  <c r="D99" i="88" s="1"/>
  <c r="D79" i="88"/>
  <c r="D82" i="88"/>
  <c r="D77" i="88"/>
  <c r="D83" i="88"/>
  <c r="D78" i="88"/>
  <c r="L99" i="88" s="1"/>
  <c r="D84" i="88"/>
  <c r="C73" i="101" l="1"/>
  <c r="D84" i="101" s="1"/>
  <c r="C73" i="98"/>
  <c r="D84" i="98" s="1"/>
  <c r="D73" i="98"/>
  <c r="D93" i="98" s="1"/>
  <c r="H23" i="84"/>
  <c r="I23" i="84"/>
  <c r="J23" i="84"/>
  <c r="K23" i="84"/>
  <c r="L23" i="84"/>
  <c r="H24" i="84"/>
  <c r="I24" i="84"/>
  <c r="J24" i="84"/>
  <c r="K24" i="84"/>
  <c r="L24" i="84"/>
  <c r="H26" i="84"/>
  <c r="I26" i="84"/>
  <c r="J26" i="84"/>
  <c r="K26" i="84"/>
  <c r="L26" i="84"/>
  <c r="H27" i="84"/>
  <c r="I27" i="84"/>
  <c r="J27" i="84"/>
  <c r="K27" i="84"/>
  <c r="L27" i="84"/>
  <c r="H28" i="84"/>
  <c r="I28" i="84"/>
  <c r="J28" i="84"/>
  <c r="K28" i="84"/>
  <c r="L28" i="84"/>
  <c r="H45" i="84"/>
  <c r="I45" i="84"/>
  <c r="J45" i="84"/>
  <c r="K45" i="84"/>
  <c r="L45" i="84"/>
  <c r="H51" i="84"/>
  <c r="I51" i="84"/>
  <c r="J51" i="84"/>
  <c r="K51" i="84"/>
  <c r="L51" i="84"/>
  <c r="H56" i="84"/>
  <c r="I56" i="84"/>
  <c r="J56" i="84"/>
  <c r="K56" i="84"/>
  <c r="L56" i="84"/>
  <c r="H59" i="84"/>
  <c r="I59" i="84"/>
  <c r="J59" i="84"/>
  <c r="K59" i="84"/>
  <c r="L59" i="84"/>
  <c r="H62" i="84"/>
  <c r="I62" i="84"/>
  <c r="J62" i="84"/>
  <c r="K62" i="84"/>
  <c r="L62" i="84"/>
  <c r="H64" i="84"/>
  <c r="I64" i="84"/>
  <c r="J64" i="84"/>
  <c r="K64" i="84"/>
  <c r="L64" i="84"/>
  <c r="H66" i="84"/>
  <c r="I66" i="84"/>
  <c r="J66" i="84"/>
  <c r="K66" i="84"/>
  <c r="L66" i="84"/>
  <c r="H72" i="84"/>
  <c r="I72" i="84"/>
  <c r="J72" i="84"/>
  <c r="K72" i="84"/>
  <c r="L72" i="84"/>
  <c r="H79" i="84"/>
  <c r="I79" i="84"/>
  <c r="J79" i="84"/>
  <c r="K79" i="84"/>
  <c r="L79" i="84"/>
  <c r="H85" i="84"/>
  <c r="I85" i="84"/>
  <c r="J85" i="84"/>
  <c r="K85" i="84"/>
  <c r="L85" i="84"/>
  <c r="H87" i="84"/>
  <c r="I87" i="84"/>
  <c r="J87" i="84"/>
  <c r="K87" i="84"/>
  <c r="L87" i="84"/>
  <c r="H88" i="84"/>
  <c r="I88" i="84"/>
  <c r="J88" i="84"/>
  <c r="K88" i="84"/>
  <c r="L88" i="84"/>
  <c r="H90" i="84"/>
  <c r="I90" i="84"/>
  <c r="J90" i="84"/>
  <c r="K90" i="84"/>
  <c r="L90" i="84"/>
  <c r="I115" i="84"/>
  <c r="J115" i="84"/>
  <c r="K115" i="84"/>
  <c r="L115" i="84"/>
  <c r="H116" i="84"/>
  <c r="I116" i="84"/>
  <c r="J116" i="84"/>
  <c r="K116" i="84"/>
  <c r="L116" i="84"/>
  <c r="H117" i="84"/>
  <c r="I117" i="84"/>
  <c r="J117" i="84"/>
  <c r="K117" i="84"/>
  <c r="L117" i="84"/>
  <c r="H119" i="84"/>
  <c r="I119" i="84"/>
  <c r="J119" i="84"/>
  <c r="K119" i="84"/>
  <c r="L119" i="84"/>
  <c r="I126" i="84"/>
  <c r="J126" i="84"/>
  <c r="K126" i="84"/>
  <c r="L126" i="84"/>
  <c r="H128" i="84"/>
  <c r="I128" i="84"/>
  <c r="J128" i="84"/>
  <c r="K128" i="84"/>
  <c r="L128" i="84"/>
  <c r="H129" i="84"/>
  <c r="I129" i="84"/>
  <c r="J129" i="84"/>
  <c r="K129" i="84"/>
  <c r="L129" i="84"/>
  <c r="I132" i="84"/>
  <c r="J132" i="84"/>
  <c r="K132" i="84"/>
  <c r="L132" i="84"/>
  <c r="H133" i="84"/>
  <c r="I133" i="84"/>
  <c r="J133" i="84"/>
  <c r="K133" i="84"/>
  <c r="L133" i="84"/>
  <c r="H135" i="84"/>
  <c r="I135" i="84"/>
  <c r="J135" i="84"/>
  <c r="K135" i="84"/>
  <c r="L135" i="84"/>
  <c r="H136" i="84"/>
  <c r="I136" i="84"/>
  <c r="J136" i="84"/>
  <c r="K136" i="84"/>
  <c r="L136" i="84"/>
  <c r="H142" i="84"/>
  <c r="I142" i="84"/>
  <c r="J142" i="84"/>
  <c r="K142" i="84"/>
  <c r="L142" i="84"/>
  <c r="H146" i="84"/>
  <c r="I146" i="84"/>
  <c r="J146" i="84"/>
  <c r="K146" i="84"/>
  <c r="L146" i="84"/>
  <c r="H147" i="84"/>
  <c r="I147" i="84"/>
  <c r="J147" i="84"/>
  <c r="K147" i="84"/>
  <c r="L147" i="84"/>
  <c r="H156" i="84"/>
  <c r="I156" i="84"/>
  <c r="J156" i="84"/>
  <c r="K156" i="84"/>
  <c r="L156" i="84"/>
  <c r="H162" i="84"/>
  <c r="I162" i="84"/>
  <c r="J162" i="84"/>
  <c r="K162" i="84"/>
  <c r="L162" i="84"/>
  <c r="I163" i="84"/>
  <c r="J163" i="84"/>
  <c r="K163" i="84"/>
  <c r="L163" i="84"/>
  <c r="H164" i="84"/>
  <c r="I164" i="84"/>
  <c r="J164" i="84"/>
  <c r="K164" i="84"/>
  <c r="L164" i="84"/>
  <c r="I166" i="84"/>
  <c r="J166" i="84"/>
  <c r="K166" i="84"/>
  <c r="L166" i="84"/>
  <c r="H167" i="84"/>
  <c r="I167" i="84"/>
  <c r="J167" i="84"/>
  <c r="K167" i="84"/>
  <c r="L167" i="84"/>
  <c r="I171" i="84"/>
  <c r="J171" i="84"/>
  <c r="K171" i="84"/>
  <c r="L171" i="84"/>
  <c r="I172" i="84"/>
  <c r="J172" i="84"/>
  <c r="K172" i="84"/>
  <c r="L172" i="84"/>
  <c r="J174" i="84"/>
  <c r="K174" i="84"/>
  <c r="L174" i="84"/>
  <c r="I175" i="84"/>
  <c r="J175" i="84"/>
  <c r="K175" i="84"/>
  <c r="L175" i="84"/>
  <c r="I176" i="84"/>
  <c r="J176" i="84"/>
  <c r="K176" i="84"/>
  <c r="L176" i="84"/>
  <c r="I177" i="84"/>
  <c r="J177" i="84"/>
  <c r="K177" i="84"/>
  <c r="L177" i="8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Matan Feldman</author>
    <author>Wall Street Prep</author>
  </authors>
  <commentList>
    <comment ref="D7" authorId="0" shapeId="0" xr:uid="{93F0C14F-69D6-4EED-BB30-BBC263F5DF1F}">
      <text>
        <r>
          <rPr>
            <b/>
            <sz val="9"/>
            <color indexed="81"/>
            <rFont val="Tahoma"/>
            <family val="2"/>
          </rPr>
          <t>Matan Feldman:</t>
        </r>
        <r>
          <rPr>
            <sz val="9"/>
            <color indexed="81"/>
            <rFont val="Tahoma"/>
            <family val="2"/>
          </rPr>
          <t xml:space="preserve">
In practice can use the NOW() function to keep current date active</t>
        </r>
      </text>
    </comment>
    <comment ref="H7" authorId="0" shapeId="0" xr:uid="{4A5271D0-7D4A-4F7F-826C-9AD844492561}">
      <text>
        <r>
          <rPr>
            <b/>
            <sz val="9"/>
            <color indexed="81"/>
            <rFont val="Tahoma"/>
            <family val="2"/>
          </rPr>
          <t>Matan Feldman:</t>
        </r>
        <r>
          <rPr>
            <sz val="9"/>
            <color indexed="81"/>
            <rFont val="Tahoma"/>
            <family val="2"/>
          </rPr>
          <t xml:space="preserve">
1 = Midyear CF
0 = End of year CF</t>
        </r>
      </text>
    </comment>
    <comment ref="B23" authorId="0" shapeId="0" xr:uid="{317423C6-4D7F-49D7-844A-B703E214E75D}">
      <text>
        <r>
          <rPr>
            <b/>
            <sz val="9"/>
            <color indexed="81"/>
            <rFont val="Tahoma"/>
            <family val="2"/>
          </rPr>
          <t>Matan Feldman:</t>
        </r>
        <r>
          <rPr>
            <sz val="9"/>
            <color indexed="81"/>
            <rFont val="Tahoma"/>
            <family val="2"/>
          </rPr>
          <t xml:space="preserve">
NOPAT stands for net operating profit after taxes.  It represents a company's operating profits less tax expense on operations.  This means that the tax deductions due to interest expense are ignored in this buildup and are instead captured in the discount rate.</t>
        </r>
      </text>
    </comment>
    <comment ref="E38" authorId="0" shapeId="0" xr:uid="{6C3FFD6F-5268-4E8A-B25F-4E2CA1B81385}">
      <text>
        <r>
          <rPr>
            <b/>
            <sz val="9"/>
            <color indexed="81"/>
            <rFont val="Tahoma"/>
            <family val="2"/>
          </rPr>
          <t>Matan Feldman:</t>
        </r>
        <r>
          <rPr>
            <sz val="9"/>
            <color indexed="81"/>
            <rFont val="Tahoma"/>
            <family val="2"/>
          </rPr>
          <t xml:space="preserve">
Stub year adjusted</t>
        </r>
      </text>
    </comment>
    <comment ref="I51" authorId="1" shapeId="0" xr:uid="{FD08B7B9-4AD3-4058-939F-7CD1AC3BF651}">
      <text>
        <r>
          <rPr>
            <b/>
            <sz val="9"/>
            <color indexed="81"/>
            <rFont val="Tahoma"/>
            <family val="2"/>
          </rPr>
          <t>Wall Street Prep:</t>
        </r>
        <r>
          <rPr>
            <sz val="9"/>
            <color indexed="81"/>
            <rFont val="Tahoma"/>
            <family val="2"/>
          </rPr>
          <t xml:space="preserve">
Implied g = [r -FCF(t)/TV]/(1+FCF(t)/TV)
</t>
        </r>
      </text>
    </comment>
    <comment ref="B57" authorId="0" shapeId="0" xr:uid="{FD8C46B4-1D46-4493-81A0-4B850C6E7636}">
      <text>
        <r>
          <rPr>
            <b/>
            <sz val="9"/>
            <color indexed="81"/>
            <rFont val="Tahoma"/>
            <family val="2"/>
          </rPr>
          <t>Matan Feldman:</t>
        </r>
        <r>
          <rPr>
            <sz val="9"/>
            <color indexed="81"/>
            <rFont val="Tahoma"/>
            <family val="2"/>
          </rPr>
          <t xml:space="preserve">
Include all debt tranches</t>
        </r>
      </text>
    </comment>
    <comment ref="I57" authorId="0" shapeId="0" xr:uid="{56DFA94A-BB66-41A4-AC00-3236F8D385C6}">
      <text>
        <r>
          <rPr>
            <b/>
            <sz val="9"/>
            <color indexed="81"/>
            <rFont val="Tahoma"/>
            <family val="2"/>
          </rPr>
          <t>Matan Feldman:</t>
        </r>
        <r>
          <rPr>
            <sz val="9"/>
            <color indexed="81"/>
            <rFont val="Tahoma"/>
            <family val="2"/>
          </rPr>
          <t xml:space="preserve">
Source: Q1 2020 10Q p.19 </t>
        </r>
      </text>
    </comment>
    <comment ref="B62" authorId="0" shapeId="0" xr:uid="{64E07D50-B5B1-45C9-A83E-ECBA39617A0A}">
      <text>
        <r>
          <rPr>
            <b/>
            <sz val="9"/>
            <color indexed="81"/>
            <rFont val="Tahoma"/>
            <family val="2"/>
          </rPr>
          <t>Matan Feldman:</t>
        </r>
        <r>
          <rPr>
            <sz val="9"/>
            <color indexed="81"/>
            <rFont val="Tahoma"/>
            <family val="2"/>
          </rPr>
          <t xml:space="preserve">
Include cash &amp; equivalents, short term and long term marketable securites and investments</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Matan Feldman</author>
    <author>Wall Street Prep</author>
  </authors>
  <commentList>
    <comment ref="D7" authorId="0" shapeId="0" xr:uid="{1662E2FA-243C-4299-A1A2-B69EE83DE2D2}">
      <text>
        <r>
          <rPr>
            <b/>
            <sz val="9"/>
            <color indexed="81"/>
            <rFont val="Tahoma"/>
            <family val="2"/>
          </rPr>
          <t>Matan Feldman:</t>
        </r>
        <r>
          <rPr>
            <sz val="9"/>
            <color indexed="81"/>
            <rFont val="Tahoma"/>
            <family val="2"/>
          </rPr>
          <t xml:space="preserve">
In practice can use the NOW() function to keep current date active</t>
        </r>
      </text>
    </comment>
    <comment ref="H7" authorId="0" shapeId="0" xr:uid="{21E93080-AB6A-4BF7-85FC-BD4D9243CDB4}">
      <text>
        <r>
          <rPr>
            <b/>
            <sz val="9"/>
            <color indexed="81"/>
            <rFont val="Tahoma"/>
            <family val="2"/>
          </rPr>
          <t>Matan Feldman:</t>
        </r>
        <r>
          <rPr>
            <sz val="9"/>
            <color indexed="81"/>
            <rFont val="Tahoma"/>
            <family val="2"/>
          </rPr>
          <t xml:space="preserve">
Midyear convention? (1=Yes,0=No)</t>
        </r>
      </text>
    </comment>
    <comment ref="B23" authorId="0" shapeId="0" xr:uid="{F32CC2A7-1037-4922-BA66-3225262B66E9}">
      <text>
        <r>
          <rPr>
            <b/>
            <sz val="9"/>
            <color indexed="81"/>
            <rFont val="Tahoma"/>
            <family val="2"/>
          </rPr>
          <t>Matan Feldman:</t>
        </r>
        <r>
          <rPr>
            <sz val="9"/>
            <color indexed="81"/>
            <rFont val="Tahoma"/>
            <family val="2"/>
          </rPr>
          <t xml:space="preserve">
NOPAT stands for net operating profit after taxes.  It represents a company's operating profits less tax expense on operations.  This means that the tax deductions due to interest expense are ignored in this buildup and are instead captured in the discount rate.</t>
        </r>
      </text>
    </comment>
    <comment ref="E38" authorId="0" shapeId="0" xr:uid="{A2545669-3A13-413B-8767-22CE998FBB22}">
      <text>
        <r>
          <rPr>
            <b/>
            <sz val="9"/>
            <color indexed="81"/>
            <rFont val="Tahoma"/>
            <family val="2"/>
          </rPr>
          <t>Matan Feldman:</t>
        </r>
        <r>
          <rPr>
            <sz val="9"/>
            <color indexed="81"/>
            <rFont val="Tahoma"/>
            <family val="2"/>
          </rPr>
          <t xml:space="preserve">
Stub year adjusted</t>
        </r>
      </text>
    </comment>
    <comment ref="I51" authorId="1" shapeId="0" xr:uid="{48D96ED5-668F-4A0F-A4C4-75A7A2347260}">
      <text>
        <r>
          <rPr>
            <b/>
            <sz val="9"/>
            <color indexed="81"/>
            <rFont val="Tahoma"/>
            <family val="2"/>
          </rPr>
          <t>Wall Street Prep:</t>
        </r>
        <r>
          <rPr>
            <sz val="9"/>
            <color indexed="81"/>
            <rFont val="Tahoma"/>
            <family val="2"/>
          </rPr>
          <t xml:space="preserve">
Implied g = [r -FCF(t)/TV]/(1+FCF(t)/TV)</t>
        </r>
      </text>
    </comment>
    <comment ref="I57" authorId="0" shapeId="0" xr:uid="{FAD366C0-FCC7-4275-8837-40EF0A8EEA89}">
      <text>
        <r>
          <rPr>
            <b/>
            <sz val="9"/>
            <color indexed="81"/>
            <rFont val="Tahoma"/>
            <family val="2"/>
          </rPr>
          <t>Matan Feldman:</t>
        </r>
        <r>
          <rPr>
            <sz val="9"/>
            <color indexed="81"/>
            <rFont val="Tahoma"/>
            <family val="2"/>
          </rPr>
          <t xml:space="preserve">
Source: Q1 2020 10Q p.19 </t>
        </r>
      </text>
    </comment>
    <comment ref="B62" authorId="0" shapeId="0" xr:uid="{F96AC9BA-3848-4E9B-8371-C54450CAA81E}">
      <text>
        <r>
          <rPr>
            <b/>
            <sz val="9"/>
            <color indexed="81"/>
            <rFont val="Tahoma"/>
            <family val="2"/>
          </rPr>
          <t>Matan Feldman:</t>
        </r>
        <r>
          <rPr>
            <sz val="9"/>
            <color indexed="81"/>
            <rFont val="Tahoma"/>
            <family val="2"/>
          </rPr>
          <t xml:space="preserve">
Include cash &amp; equivalents, short term and long term marketable securites and investments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Matan Feldman</author>
    <author>Wall Street Prep</author>
  </authors>
  <commentList>
    <comment ref="D7" authorId="0" shapeId="0" xr:uid="{64FA2550-0A23-447B-BAD2-643C98EC1757}">
      <text>
        <r>
          <rPr>
            <b/>
            <sz val="9"/>
            <color indexed="81"/>
            <rFont val="Tahoma"/>
            <family val="2"/>
          </rPr>
          <t>Matan Feldman:</t>
        </r>
        <r>
          <rPr>
            <sz val="9"/>
            <color indexed="81"/>
            <rFont val="Tahoma"/>
            <family val="2"/>
          </rPr>
          <t xml:space="preserve">
In practice can use the NOW() function to keep current date active</t>
        </r>
      </text>
    </comment>
    <comment ref="H7" authorId="0" shapeId="0" xr:uid="{3B1DC30B-6DFE-435A-8E21-6FD11E9B872A}">
      <text>
        <r>
          <rPr>
            <b/>
            <sz val="9"/>
            <color indexed="81"/>
            <rFont val="Tahoma"/>
            <family val="2"/>
          </rPr>
          <t>Wall Street Prep:</t>
        </r>
        <r>
          <rPr>
            <sz val="9"/>
            <color indexed="81"/>
            <rFont val="Tahoma"/>
            <family val="2"/>
          </rPr>
          <t xml:space="preserve">
1 = Midyear CF
0 = End of year CF</t>
        </r>
      </text>
    </comment>
    <comment ref="B23" authorId="0" shapeId="0" xr:uid="{0D53684F-A6EE-4C14-9DD8-396321E213EC}">
      <text>
        <r>
          <rPr>
            <b/>
            <sz val="9"/>
            <color indexed="81"/>
            <rFont val="Tahoma"/>
            <family val="2"/>
          </rPr>
          <t>Matan Feldman:</t>
        </r>
        <r>
          <rPr>
            <sz val="9"/>
            <color indexed="81"/>
            <rFont val="Tahoma"/>
            <family val="2"/>
          </rPr>
          <t xml:space="preserve">
NOPAT stands for net operating profit after taxes.  It represents a company's operating profits less tax expense on operations.  This means that the tax deductions due to interest expense are ignored in this buildup and are instead captured in the discount rate.</t>
        </r>
      </text>
    </comment>
    <comment ref="E38" authorId="0" shapeId="0" xr:uid="{8A76AFB4-5E43-4540-B961-1C22D3EAF8AF}">
      <text>
        <r>
          <rPr>
            <b/>
            <sz val="9"/>
            <color indexed="81"/>
            <rFont val="Tahoma"/>
            <family val="2"/>
          </rPr>
          <t>Matan Feldman:</t>
        </r>
        <r>
          <rPr>
            <sz val="9"/>
            <color indexed="81"/>
            <rFont val="Tahoma"/>
            <family val="2"/>
          </rPr>
          <t xml:space="preserve">
Stub year adjusted</t>
        </r>
      </text>
    </comment>
    <comment ref="I51" authorId="1" shapeId="0" xr:uid="{87BBF542-C166-4E49-AC53-5D5481C23701}">
      <text>
        <r>
          <rPr>
            <b/>
            <sz val="9"/>
            <color indexed="81"/>
            <rFont val="Tahoma"/>
            <family val="2"/>
          </rPr>
          <t>Wall Street Prep:</t>
        </r>
        <r>
          <rPr>
            <sz val="9"/>
            <color indexed="81"/>
            <rFont val="Tahoma"/>
            <family val="2"/>
          </rPr>
          <t xml:space="preserve">
Implied g = [r -FCF(t)/TV]/(1+FCF(t)/TV)
</t>
        </r>
      </text>
    </comment>
    <comment ref="B57" authorId="0" shapeId="0" xr:uid="{A9C80E59-AD67-428C-B1A3-2867DF52567B}">
      <text>
        <r>
          <rPr>
            <b/>
            <sz val="9"/>
            <color indexed="81"/>
            <rFont val="Tahoma"/>
            <family val="2"/>
          </rPr>
          <t>Matan Feldman:</t>
        </r>
        <r>
          <rPr>
            <sz val="9"/>
            <color indexed="81"/>
            <rFont val="Tahoma"/>
            <family val="2"/>
          </rPr>
          <t xml:space="preserve">
Include all debt tranches</t>
        </r>
      </text>
    </comment>
    <comment ref="I57" authorId="0" shapeId="0" xr:uid="{BB90C047-0D9C-4FD2-8DE7-C3EA0B703A1D}">
      <text>
        <r>
          <rPr>
            <b/>
            <sz val="9"/>
            <color indexed="81"/>
            <rFont val="Tahoma"/>
            <family val="2"/>
          </rPr>
          <t>Matan Feldman:</t>
        </r>
        <r>
          <rPr>
            <sz val="9"/>
            <color indexed="81"/>
            <rFont val="Tahoma"/>
            <family val="2"/>
          </rPr>
          <t xml:space="preserve">
Source: Q1 2020 10Q p.19 </t>
        </r>
      </text>
    </comment>
    <comment ref="B62" authorId="0" shapeId="0" xr:uid="{3F2EC1EC-DF25-4475-B30F-29E1A476A296}">
      <text>
        <r>
          <rPr>
            <b/>
            <sz val="9"/>
            <color indexed="81"/>
            <rFont val="Tahoma"/>
            <family val="2"/>
          </rPr>
          <t>Matan Feldman:</t>
        </r>
        <r>
          <rPr>
            <sz val="9"/>
            <color indexed="81"/>
            <rFont val="Tahoma"/>
            <family val="2"/>
          </rPr>
          <t xml:space="preserve">
Include cash &amp; equivalents, short term and long term marketable securites and investments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Wall Street Prep</author>
  </authors>
  <commentList>
    <comment ref="C40" authorId="0" shapeId="0" xr:uid="{C22AB0B7-6015-4722-A4A2-9ACCFFE7991B}">
      <text>
        <r>
          <rPr>
            <b/>
            <sz val="9"/>
            <color indexed="81"/>
            <rFont val="Tahoma"/>
            <family val="2"/>
          </rPr>
          <t>Wall Street Prep:</t>
        </r>
        <r>
          <rPr>
            <sz val="9"/>
            <color indexed="81"/>
            <rFont val="Tahoma"/>
            <family val="2"/>
          </rPr>
          <t xml:space="preserve">
CIQ</t>
        </r>
      </text>
    </comment>
    <comment ref="H40" authorId="0" shapeId="0" xr:uid="{BEE665C9-2A3E-4669-A65F-10CA4EE92269}">
      <text>
        <r>
          <rPr>
            <b/>
            <sz val="9"/>
            <color indexed="81"/>
            <rFont val="Tahoma"/>
            <family val="2"/>
          </rPr>
          <t>Wall Street Prep:</t>
        </r>
        <r>
          <rPr>
            <sz val="9"/>
            <color indexed="81"/>
            <rFont val="Tahoma"/>
            <family val="2"/>
          </rPr>
          <t xml:space="preserve">
Last 9 month per latest 10Q footnotes</t>
        </r>
      </text>
    </comment>
    <comment ref="C41" authorId="0" shapeId="0" xr:uid="{E3FF2296-1D01-45BF-AEA7-DC8672EBBB32}">
      <text>
        <r>
          <rPr>
            <b/>
            <sz val="9"/>
            <color indexed="81"/>
            <rFont val="Tahoma"/>
            <family val="2"/>
          </rPr>
          <t>Wall Street Prep:</t>
        </r>
        <r>
          <rPr>
            <sz val="9"/>
            <color indexed="81"/>
            <rFont val="Tahoma"/>
            <family val="2"/>
          </rPr>
          <t xml:space="preserve">
CIQ</t>
        </r>
      </text>
    </comment>
    <comment ref="H41" authorId="0" shapeId="0" xr:uid="{13346CD8-9DCF-4C48-8EC8-8E10D1181AFD}">
      <text>
        <r>
          <rPr>
            <b/>
            <sz val="9"/>
            <color indexed="81"/>
            <rFont val="Tahoma"/>
            <family val="2"/>
          </rPr>
          <t>Wall Street Prep:</t>
        </r>
        <r>
          <rPr>
            <sz val="9"/>
            <color indexed="81"/>
            <rFont val="Tahoma"/>
            <family val="2"/>
          </rPr>
          <t xml:space="preserve">
Non-GAAP tax rate from latest 10Q</t>
        </r>
      </text>
    </comment>
    <comment ref="C42" authorId="0" shapeId="0" xr:uid="{72D591AA-419A-4F1A-989A-9AB32231DCF9}">
      <text>
        <r>
          <rPr>
            <b/>
            <sz val="9"/>
            <color indexed="81"/>
            <rFont val="Tahoma"/>
            <family val="2"/>
          </rPr>
          <t>Wall Street Prep:</t>
        </r>
        <r>
          <rPr>
            <sz val="9"/>
            <color indexed="81"/>
            <rFont val="Tahoma"/>
            <family val="2"/>
          </rPr>
          <t xml:space="preserve">
CIQ</t>
        </r>
      </text>
    </comment>
    <comment ref="H42" authorId="0" shapeId="0" xr:uid="{8F3E176B-7CDD-40B1-AF3D-A3228B9B74BF}">
      <text>
        <r>
          <rPr>
            <b/>
            <sz val="9"/>
            <color indexed="81"/>
            <rFont val="Tahoma"/>
            <family val="2"/>
          </rPr>
          <t>Wall Street Prep:</t>
        </r>
        <r>
          <rPr>
            <sz val="9"/>
            <color indexed="81"/>
            <rFont val="Tahoma"/>
            <family val="2"/>
          </rPr>
          <t xml:space="preserve">
Annualized tax rate</t>
        </r>
      </text>
    </comment>
    <comment ref="C43" authorId="0" shapeId="0" xr:uid="{4B9843F1-CF4A-4137-8E0D-EB6F4F37F868}">
      <text>
        <r>
          <rPr>
            <b/>
            <sz val="9"/>
            <color indexed="81"/>
            <rFont val="Tahoma"/>
            <family val="2"/>
          </rPr>
          <t>Wall Street Prep:</t>
        </r>
        <r>
          <rPr>
            <sz val="9"/>
            <color indexed="81"/>
            <rFont val="Tahoma"/>
            <family val="2"/>
          </rPr>
          <t xml:space="preserve">
Bloomberg</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Matan Feldman</author>
    <author>Wall Street Prep</author>
  </authors>
  <commentList>
    <comment ref="C18" authorId="0" shapeId="0" xr:uid="{00F32598-EED9-4277-956A-84BC46BCD5D9}">
      <text>
        <r>
          <rPr>
            <b/>
            <sz val="9"/>
            <color indexed="81"/>
            <rFont val="Tahoma"/>
            <family val="2"/>
          </rPr>
          <t>Matan Feldman:</t>
        </r>
        <r>
          <rPr>
            <sz val="9"/>
            <color indexed="81"/>
            <rFont val="Tahoma"/>
            <family val="2"/>
          </rPr>
          <t xml:space="preserve">
Equity was $1,223,044.7 in the video because we ignored the illusrative converts and options (in case you're wondering why your numbers aren't footing with the video)</t>
        </r>
      </text>
    </comment>
    <comment ref="C40" authorId="1" shapeId="0" xr:uid="{5E473519-FC77-4945-84C0-5F76A559DECB}">
      <text>
        <r>
          <rPr>
            <b/>
            <sz val="9"/>
            <color indexed="81"/>
            <rFont val="Tahoma"/>
            <family val="2"/>
          </rPr>
          <t>Wall Street Prep:</t>
        </r>
        <r>
          <rPr>
            <sz val="9"/>
            <color indexed="81"/>
            <rFont val="Tahoma"/>
            <family val="2"/>
          </rPr>
          <t xml:space="preserve">
CIQ</t>
        </r>
      </text>
    </comment>
    <comment ref="H40" authorId="1" shapeId="0" xr:uid="{300C7606-E758-44CE-99AA-E4BD74C4E8BE}">
      <text>
        <r>
          <rPr>
            <b/>
            <sz val="9"/>
            <color indexed="81"/>
            <rFont val="Tahoma"/>
            <family val="2"/>
          </rPr>
          <t>Wall Street Prep:</t>
        </r>
        <r>
          <rPr>
            <sz val="9"/>
            <color indexed="81"/>
            <rFont val="Tahoma"/>
            <family val="2"/>
          </rPr>
          <t xml:space="preserve">
Last 9 month per latest 10Q footnotes</t>
        </r>
      </text>
    </comment>
    <comment ref="C41" authorId="1" shapeId="0" xr:uid="{DF3CB57D-41C5-4CE1-9005-9D9A50EA05F8}">
      <text>
        <r>
          <rPr>
            <b/>
            <sz val="9"/>
            <color indexed="81"/>
            <rFont val="Tahoma"/>
            <family val="2"/>
          </rPr>
          <t>Wall Street Prep:</t>
        </r>
        <r>
          <rPr>
            <sz val="9"/>
            <color indexed="81"/>
            <rFont val="Tahoma"/>
            <family val="2"/>
          </rPr>
          <t xml:space="preserve">
CIQ</t>
        </r>
      </text>
    </comment>
    <comment ref="H41" authorId="1" shapeId="0" xr:uid="{0F3F8259-5B3D-4BB7-8BBB-CD8B78BB9AB2}">
      <text>
        <r>
          <rPr>
            <b/>
            <sz val="9"/>
            <color indexed="81"/>
            <rFont val="Tahoma"/>
            <family val="2"/>
          </rPr>
          <t>Wall Street Prep:</t>
        </r>
        <r>
          <rPr>
            <sz val="9"/>
            <color indexed="81"/>
            <rFont val="Tahoma"/>
            <family val="2"/>
          </rPr>
          <t xml:space="preserve">
Non-GAAP tax rate from latest 10Q</t>
        </r>
      </text>
    </comment>
    <comment ref="C42" authorId="1" shapeId="0" xr:uid="{55BB4A8B-F2E1-43D8-A081-55E790CA46F5}">
      <text>
        <r>
          <rPr>
            <b/>
            <sz val="9"/>
            <color indexed="81"/>
            <rFont val="Tahoma"/>
            <family val="2"/>
          </rPr>
          <t>Wall Street Prep:</t>
        </r>
        <r>
          <rPr>
            <sz val="9"/>
            <color indexed="81"/>
            <rFont val="Tahoma"/>
            <family val="2"/>
          </rPr>
          <t xml:space="preserve">
CIQ</t>
        </r>
      </text>
    </comment>
    <comment ref="H42" authorId="1" shapeId="0" xr:uid="{E0CE93C6-83A3-4E39-A968-5A2D6AE3C5FB}">
      <text>
        <r>
          <rPr>
            <b/>
            <sz val="9"/>
            <color indexed="81"/>
            <rFont val="Tahoma"/>
            <family val="2"/>
          </rPr>
          <t>Wall Street Prep:</t>
        </r>
        <r>
          <rPr>
            <sz val="9"/>
            <color indexed="81"/>
            <rFont val="Tahoma"/>
            <family val="2"/>
          </rPr>
          <t xml:space="preserve">
Annualized tax rate</t>
        </r>
      </text>
    </comment>
    <comment ref="C43" authorId="1" shapeId="0" xr:uid="{58FFC601-4914-4E12-AB29-4836CB9B81A9}">
      <text>
        <r>
          <rPr>
            <b/>
            <sz val="9"/>
            <color indexed="81"/>
            <rFont val="Tahoma"/>
            <family val="2"/>
          </rPr>
          <t>Wall Street Prep:</t>
        </r>
        <r>
          <rPr>
            <sz val="9"/>
            <color indexed="81"/>
            <rFont val="Tahoma"/>
            <family val="2"/>
          </rPr>
          <t xml:space="preserve">
Bloomberg</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Matan Feldman</author>
  </authors>
  <commentList>
    <comment ref="B25" authorId="0" shapeId="0" xr:uid="{62B1767A-1DBD-4DA8-A5B0-D7323A9282ED}">
      <text>
        <r>
          <rPr>
            <b/>
            <sz val="9"/>
            <color indexed="81"/>
            <rFont val="Tahoma"/>
            <family val="2"/>
          </rPr>
          <t>Matan Feldman:</t>
        </r>
        <r>
          <rPr>
            <sz val="9"/>
            <color indexed="81"/>
            <rFont val="Tahoma"/>
            <family val="2"/>
          </rPr>
          <t xml:space="preserve">
Usually found in footnotes.  Otherwise, use latest balance sheet value as proxy 
</t>
        </r>
      </text>
    </comment>
    <comment ref="B34" authorId="0" shapeId="0" xr:uid="{8C248884-9DA5-4A03-8A75-9DF77818C080}">
      <text>
        <r>
          <rPr>
            <b/>
            <sz val="9"/>
            <color indexed="81"/>
            <rFont val="Tahoma"/>
            <family val="2"/>
          </rPr>
          <t>Matan Feldman:</t>
        </r>
        <r>
          <rPr>
            <sz val="9"/>
            <color indexed="81"/>
            <rFont val="Tahoma"/>
            <family val="2"/>
          </rPr>
          <t xml:space="preserve">
Usually found in footnotes.  Otherwise, use balance sheet value.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Matan Feldman</author>
  </authors>
  <commentList>
    <comment ref="B25" authorId="0" shapeId="0" xr:uid="{B34CA0F5-7D0F-44A9-B527-C4F78B9EA1DC}">
      <text>
        <r>
          <rPr>
            <b/>
            <sz val="9"/>
            <color indexed="81"/>
            <rFont val="Tahoma"/>
            <family val="2"/>
          </rPr>
          <t>Matan Feldman:</t>
        </r>
        <r>
          <rPr>
            <sz val="9"/>
            <color indexed="81"/>
            <rFont val="Tahoma"/>
            <family val="2"/>
          </rPr>
          <t xml:space="preserve">
Usually found in footnotes.  Otherwise, use latest balance sheet value as proxy 
</t>
        </r>
      </text>
    </comment>
    <comment ref="B34" authorId="0" shapeId="0" xr:uid="{F82F18FD-F9F8-405F-AEC1-53AF438B5F6C}">
      <text>
        <r>
          <rPr>
            <b/>
            <sz val="9"/>
            <color indexed="81"/>
            <rFont val="Tahoma"/>
            <family val="2"/>
          </rPr>
          <t>Matan Feldman:</t>
        </r>
        <r>
          <rPr>
            <sz val="9"/>
            <color indexed="81"/>
            <rFont val="Tahoma"/>
            <family val="2"/>
          </rPr>
          <t xml:space="preserve">
Usually found in footnotes.  Otherwise, use balance sheet value.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Matan Feldman</author>
    <author>Wall Street Prep</author>
  </authors>
  <commentList>
    <comment ref="D7" authorId="0" shapeId="0" xr:uid="{68D34AC4-EAE0-4C0F-AF44-F020A2F19878}">
      <text>
        <r>
          <rPr>
            <b/>
            <sz val="9"/>
            <color indexed="81"/>
            <rFont val="Tahoma"/>
            <family val="2"/>
          </rPr>
          <t>Matan Feldman:</t>
        </r>
        <r>
          <rPr>
            <sz val="9"/>
            <color indexed="81"/>
            <rFont val="Tahoma"/>
            <family val="2"/>
          </rPr>
          <t xml:space="preserve">
In practice can use the NOW() function to keep current date active</t>
        </r>
      </text>
    </comment>
    <comment ref="H7" authorId="0" shapeId="0" xr:uid="{FB65F085-4DAC-4805-8D60-8C15A8E14A52}">
      <text>
        <r>
          <rPr>
            <b/>
            <sz val="9"/>
            <color indexed="81"/>
            <rFont val="Tahoma"/>
            <family val="2"/>
          </rPr>
          <t>Matan Feldman:</t>
        </r>
        <r>
          <rPr>
            <sz val="9"/>
            <color indexed="81"/>
            <rFont val="Tahoma"/>
            <family val="2"/>
          </rPr>
          <t xml:space="preserve">
1 = Midyear CF
0 = End of year CF</t>
        </r>
      </text>
    </comment>
    <comment ref="B23" authorId="0" shapeId="0" xr:uid="{2D2DB063-5E92-49D4-A9D6-9F039E1B3170}">
      <text>
        <r>
          <rPr>
            <b/>
            <sz val="9"/>
            <color indexed="81"/>
            <rFont val="Tahoma"/>
            <family val="2"/>
          </rPr>
          <t>Matan Feldman:</t>
        </r>
        <r>
          <rPr>
            <sz val="9"/>
            <color indexed="81"/>
            <rFont val="Tahoma"/>
            <family val="2"/>
          </rPr>
          <t xml:space="preserve">
NOPAT stands for net operating profit after taxes.  It represents a company's operating profits less tax expense on operations.  This means that the tax deductions due to interest expense are ignored in this buildup and are instead captured in the discount rate.</t>
        </r>
      </text>
    </comment>
    <comment ref="E38" authorId="0" shapeId="0" xr:uid="{8620AFFD-9584-4DF9-BE9D-F76546BB4AC0}">
      <text>
        <r>
          <rPr>
            <b/>
            <sz val="9"/>
            <color indexed="81"/>
            <rFont val="Tahoma"/>
            <family val="2"/>
          </rPr>
          <t>Matan Feldman:</t>
        </r>
        <r>
          <rPr>
            <sz val="9"/>
            <color indexed="81"/>
            <rFont val="Tahoma"/>
            <family val="2"/>
          </rPr>
          <t xml:space="preserve">
Stub year adjusted</t>
        </r>
      </text>
    </comment>
    <comment ref="I51" authorId="1" shapeId="0" xr:uid="{345B135A-BE6D-4DFB-BB1B-BB2F51634825}">
      <text>
        <r>
          <rPr>
            <b/>
            <sz val="9"/>
            <color indexed="81"/>
            <rFont val="Tahoma"/>
            <family val="2"/>
          </rPr>
          <t>Wall Street Prep:</t>
        </r>
        <r>
          <rPr>
            <sz val="9"/>
            <color indexed="81"/>
            <rFont val="Tahoma"/>
            <family val="2"/>
          </rPr>
          <t xml:space="preserve">
Implied g = [r -FCF(t)/TV]/(1+FCF(t)/TV)
</t>
        </r>
      </text>
    </comment>
    <comment ref="B57" authorId="0" shapeId="0" xr:uid="{F98B2D4A-C0DA-4F07-91D4-40A5004354E8}">
      <text>
        <r>
          <rPr>
            <b/>
            <sz val="9"/>
            <color indexed="81"/>
            <rFont val="Tahoma"/>
            <family val="2"/>
          </rPr>
          <t>Matan Feldman:</t>
        </r>
        <r>
          <rPr>
            <sz val="9"/>
            <color indexed="81"/>
            <rFont val="Tahoma"/>
            <family val="2"/>
          </rPr>
          <t xml:space="preserve">
Include all debt tranches</t>
        </r>
      </text>
    </comment>
    <comment ref="I57" authorId="0" shapeId="0" xr:uid="{61B5A36F-7CDC-4843-9E26-6811F930BF10}">
      <text>
        <r>
          <rPr>
            <b/>
            <sz val="9"/>
            <color indexed="81"/>
            <rFont val="Tahoma"/>
            <family val="2"/>
          </rPr>
          <t>Matan Feldman:</t>
        </r>
        <r>
          <rPr>
            <sz val="9"/>
            <color indexed="81"/>
            <rFont val="Tahoma"/>
            <family val="2"/>
          </rPr>
          <t xml:space="preserve">
Source: Q1 2020 10Q p.19 </t>
        </r>
      </text>
    </comment>
    <comment ref="C58" authorId="0" shapeId="0" xr:uid="{5DED7BC8-8383-413A-BAEA-4F29E75C54BB}">
      <text>
        <r>
          <rPr>
            <b/>
            <sz val="9"/>
            <color indexed="81"/>
            <rFont val="Tahoma"/>
            <family val="2"/>
          </rPr>
          <t>Matan Feldman:</t>
        </r>
        <r>
          <rPr>
            <sz val="9"/>
            <color indexed="81"/>
            <rFont val="Tahoma"/>
            <family val="2"/>
          </rPr>
          <t xml:space="preserve">
If we assume conversion using if-converted method, do not include convertible debt in the net debt calculation</t>
        </r>
      </text>
    </comment>
    <comment ref="C59" authorId="0" shapeId="0" xr:uid="{1D17B72F-5C8E-42AB-A511-1857A79593DD}">
      <text>
        <r>
          <rPr>
            <b/>
            <sz val="9"/>
            <color indexed="81"/>
            <rFont val="Tahoma"/>
            <family val="2"/>
          </rPr>
          <t>Matan Feldman:</t>
        </r>
        <r>
          <rPr>
            <sz val="9"/>
            <color indexed="81"/>
            <rFont val="Tahoma"/>
            <family val="2"/>
          </rPr>
          <t xml:space="preserve">
If we assume conversion using if-converted method, do not include convertible debt in the net debt calculation</t>
        </r>
      </text>
    </comment>
    <comment ref="B62" authorId="0" shapeId="0" xr:uid="{DED2678F-FE80-4F56-BFFB-12312A3C050D}">
      <text>
        <r>
          <rPr>
            <b/>
            <sz val="9"/>
            <color indexed="81"/>
            <rFont val="Tahoma"/>
            <family val="2"/>
          </rPr>
          <t>Matan Feldman:</t>
        </r>
        <r>
          <rPr>
            <sz val="9"/>
            <color indexed="81"/>
            <rFont val="Tahoma"/>
            <family val="2"/>
          </rPr>
          <t xml:space="preserve">
Include cash &amp; equivalents, short term and long term marketable securites and investments</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Matan Feldman</author>
  </authors>
  <commentList>
    <comment ref="D11" authorId="0" shapeId="0" xr:uid="{A45DAF0A-5EB8-4160-AF59-55BCBAD0BA73}">
      <text>
        <r>
          <rPr>
            <sz val="9"/>
            <color indexed="81"/>
            <rFont val="Tahoma"/>
            <family val="2"/>
          </rPr>
          <t>Front cover of Apple 2019 10K
As of October 18, 2019</t>
        </r>
      </text>
    </comment>
    <comment ref="C48" authorId="0" shapeId="0" xr:uid="{EAAA7BE5-28FB-479B-8B58-BED37E14D910}">
      <text>
        <r>
          <rPr>
            <sz val="9"/>
            <color indexed="81"/>
            <rFont val="Tahoma"/>
            <family val="2"/>
          </rPr>
          <t>Includes vendor non-trade receivables</t>
        </r>
      </text>
    </comment>
    <comment ref="C50" authorId="0" shapeId="0" xr:uid="{96C73AB5-F2A0-4B31-A05D-990D7D76FEC4}">
      <text>
        <r>
          <rPr>
            <sz val="9"/>
            <color indexed="81"/>
            <rFont val="Tahoma"/>
            <family val="2"/>
          </rPr>
          <t>AAPL started aggregating goodwill, intangible assets and other non current assets into one line item in 2018, with no footnote breakout of the individual line items. 10Ks prior to 2018 did have a breakout.</t>
        </r>
      </text>
    </comment>
    <comment ref="F54" authorId="0" shapeId="0" xr:uid="{6E2737DD-49E8-454B-ADED-55D42EF53FAD}">
      <text>
        <r>
          <rPr>
            <b/>
            <sz val="9"/>
            <color indexed="81"/>
            <rFont val="Tahoma"/>
            <family val="2"/>
          </rPr>
          <t>Matan Feldman:</t>
        </r>
        <r>
          <rPr>
            <sz val="9"/>
            <color indexed="81"/>
            <rFont val="Tahoma"/>
            <family val="2"/>
          </rPr>
          <t xml:space="preserve">
reclassified from 32687 in 2018 10k</t>
        </r>
      </text>
    </comment>
    <comment ref="E55" authorId="0" shapeId="0" xr:uid="{A9078B06-FBE3-4923-A1E9-85BFD83F51E5}">
      <text>
        <r>
          <rPr>
            <b/>
            <sz val="9"/>
            <color indexed="81"/>
            <rFont val="Tahoma"/>
            <family val="2"/>
          </rPr>
          <t>Matan Feldman:</t>
        </r>
        <r>
          <rPr>
            <sz val="9"/>
            <color indexed="81"/>
            <rFont val="Tahoma"/>
            <family val="2"/>
          </rPr>
          <t xml:space="preserve">
includes both current and non current deferred revenue</t>
        </r>
      </text>
    </comment>
    <comment ref="F55" authorId="0" shapeId="0" xr:uid="{344FBAE6-8186-4FD1-8240-7507BA8B3824}">
      <text>
        <r>
          <rPr>
            <b/>
            <sz val="9"/>
            <color indexed="81"/>
            <rFont val="Tahoma"/>
            <family val="2"/>
          </rPr>
          <t>Matan Feldman:</t>
        </r>
        <r>
          <rPr>
            <sz val="9"/>
            <color indexed="81"/>
            <rFont val="Tahoma"/>
            <family val="2"/>
          </rPr>
          <t xml:space="preserve">
reclassified from 10,340 in 2018 10k</t>
        </r>
      </text>
    </comment>
    <comment ref="H97" authorId="0" shapeId="0" xr:uid="{6E6A908B-7154-4079-872F-8D5A3853C830}">
      <text>
        <r>
          <rPr>
            <b/>
            <sz val="9"/>
            <color indexed="81"/>
            <rFont val="Tahoma"/>
            <family val="2"/>
          </rPr>
          <t>Matan Feldman:</t>
        </r>
        <r>
          <rPr>
            <sz val="9"/>
            <color indexed="81"/>
            <rFont val="Tahoma"/>
            <family val="2"/>
          </rPr>
          <t xml:space="preserve">
consensus per 1/2/19 source CIQ</t>
        </r>
      </text>
    </comment>
    <comment ref="I97" authorId="0" shapeId="0" xr:uid="{8F3B5971-DA7F-4B45-8D81-E55C1A6D581E}">
      <text>
        <r>
          <rPr>
            <b/>
            <sz val="9"/>
            <color indexed="81"/>
            <rFont val="Tahoma"/>
            <family val="2"/>
          </rPr>
          <t>Matan Feldman:</t>
        </r>
        <r>
          <rPr>
            <sz val="9"/>
            <color indexed="81"/>
            <rFont val="Tahoma"/>
            <family val="2"/>
          </rPr>
          <t xml:space="preserve">
consensus per 1/2/19 source CIQ</t>
        </r>
      </text>
    </comment>
    <comment ref="N101" authorId="0" shapeId="0" xr:uid="{4C74C6FD-7B4A-43F1-842F-6784AC67FA9B}">
      <text>
        <r>
          <rPr>
            <sz val="9"/>
            <color indexed="81"/>
            <rFont val="Tahoma"/>
            <family val="2"/>
          </rPr>
          <t>WSP estimate</t>
        </r>
      </text>
    </comment>
    <comment ref="C117" authorId="0" shapeId="0" xr:uid="{3A758A67-74C8-41B3-BA63-D09D9AF6A948}">
      <text>
        <r>
          <rPr>
            <sz val="9"/>
            <color indexed="81"/>
            <rFont val="Tahoma"/>
            <family val="2"/>
          </rPr>
          <t>Statement of shareholders equity schedule, p.41 Apple 2018 10K</t>
        </r>
      </text>
    </comment>
    <comment ref="C118" authorId="0" shapeId="0" xr:uid="{6C77543D-1D86-4469-A984-367DE2C4FFF8}">
      <text>
        <r>
          <rPr>
            <sz val="9"/>
            <color indexed="81"/>
            <rFont val="Tahoma"/>
            <family val="2"/>
          </rPr>
          <t>Statement of shareholders equity schedule, p.41 Apple 2018 10K</t>
        </r>
      </text>
    </comment>
    <comment ref="E145" authorId="0" shapeId="0" xr:uid="{ABDCBA3B-1B4B-48D0-8E91-A1FF2FEF8712}">
      <text>
        <r>
          <rPr>
            <sz val="9"/>
            <color indexed="81"/>
            <rFont val="Tahoma"/>
            <family val="2"/>
          </rPr>
          <t>2018 Note 5 - Debt. 10K p55</t>
        </r>
      </text>
    </comment>
    <comment ref="F145" authorId="0" shapeId="0" xr:uid="{397006C9-033E-47F4-B7ED-FC0049685F1B}">
      <text>
        <r>
          <rPr>
            <b/>
            <sz val="9"/>
            <color indexed="81"/>
            <rFont val="Tahoma"/>
            <family val="2"/>
          </rPr>
          <t>Matan Feldman:</t>
        </r>
        <r>
          <rPr>
            <sz val="9"/>
            <color indexed="81"/>
            <rFont val="Tahoma"/>
            <family val="2"/>
          </rPr>
          <t xml:space="preserve">
2019 10k p.47</t>
        </r>
      </text>
    </comment>
    <comment ref="G145" authorId="0" shapeId="0" xr:uid="{334DFBEC-3047-450D-AEB1-59FCBD3E9F6B}">
      <text>
        <r>
          <rPr>
            <b/>
            <sz val="9"/>
            <color indexed="81"/>
            <rFont val="Tahoma"/>
            <family val="2"/>
          </rPr>
          <t>Matan Feldman:</t>
        </r>
        <r>
          <rPr>
            <sz val="9"/>
            <color indexed="81"/>
            <rFont val="Tahoma"/>
            <family val="2"/>
          </rPr>
          <t xml:space="preserve">
2019 10k p.47</t>
        </r>
      </text>
    </comment>
    <comment ref="C151" authorId="0" shapeId="0" xr:uid="{C878D2D9-0CD3-4492-8BA1-F0951DC1FEB4}">
      <text>
        <r>
          <rPr>
            <sz val="9"/>
            <color indexed="81"/>
            <rFont val="Tahoma"/>
            <family val="2"/>
          </rPr>
          <t xml:space="preserve">We estimate the historical interest rate (though not explicitly disclosed by Apple). </t>
        </r>
      </text>
    </comment>
    <comment ref="C152" authorId="0" shapeId="0" xr:uid="{8A86929A-57E9-48E2-A126-A5722FD08D33}">
      <text>
        <r>
          <rPr>
            <sz val="9"/>
            <color indexed="81"/>
            <rFont val="Tahoma"/>
            <family val="2"/>
          </rPr>
          <t>Although Apple doesn't disclose interest expense specifically, it does disclose the interest rate on commercial paper which enables us to back into interest expense for LTD</t>
        </r>
      </text>
    </comment>
    <comment ref="D155" authorId="0" shapeId="0" xr:uid="{0B8F8B0E-857E-444A-B3F5-CE035C9D9DAF}">
      <text>
        <r>
          <rPr>
            <sz val="9"/>
            <color indexed="81"/>
            <rFont val="Tahoma"/>
            <family val="2"/>
          </rPr>
          <t>2018 p.27 in the 'Other Income/(Expense), Net' section.</t>
        </r>
      </text>
    </comment>
    <comment ref="E155" authorId="0" shapeId="0" xr:uid="{1B0C31B2-3911-4547-90FE-761249472713}">
      <text>
        <r>
          <rPr>
            <sz val="9"/>
            <color indexed="81"/>
            <rFont val="Tahoma"/>
            <family val="2"/>
          </rPr>
          <t>2018 p.27 in the 'Other Income/(Expense), Net' section.</t>
        </r>
      </text>
    </comment>
    <comment ref="F155" authorId="0" shapeId="0" xr:uid="{3CC21265-D6C3-4FD5-BCA6-2EBBDB139F13}">
      <text>
        <r>
          <rPr>
            <b/>
            <sz val="9"/>
            <color indexed="81"/>
            <rFont val="Tahoma"/>
            <family val="2"/>
          </rPr>
          <t>Matan Feldman:</t>
        </r>
        <r>
          <rPr>
            <sz val="9"/>
            <color indexed="81"/>
            <rFont val="Tahoma"/>
            <family val="2"/>
          </rPr>
          <t xml:space="preserve">
2019 10k p.22</t>
        </r>
      </text>
    </comment>
    <comment ref="G155" authorId="0" shapeId="0" xr:uid="{D0131A04-8AC5-4C98-A6F1-7803A3A3E7AB}">
      <text>
        <r>
          <rPr>
            <b/>
            <sz val="9"/>
            <color indexed="81"/>
            <rFont val="Tahoma"/>
            <family val="2"/>
          </rPr>
          <t>Matan Feldman:</t>
        </r>
        <r>
          <rPr>
            <sz val="9"/>
            <color indexed="81"/>
            <rFont val="Tahoma"/>
            <family val="2"/>
          </rPr>
          <t xml:space="preserve">
2019 10k p.22</t>
        </r>
      </text>
    </comment>
    <comment ref="C166" authorId="0" shapeId="0" xr:uid="{A832C1D7-FC98-46B3-ACA7-5B71E831174E}">
      <text>
        <r>
          <rPr>
            <sz val="9"/>
            <color indexed="81"/>
            <rFont val="Tahoma"/>
            <family val="2"/>
          </rPr>
          <t>We straight line last actual year's dilutive securities (calculated as diluted - basic shares) and add this number to the basic share count to arrive at diluted shares</t>
        </r>
      </text>
    </comment>
    <comment ref="C170" authorId="0" shapeId="0" xr:uid="{23BF8F2F-8B41-47AB-866A-B65640C75706}">
      <text>
        <r>
          <rPr>
            <sz val="9"/>
            <color indexed="81"/>
            <rFont val="Tahoma"/>
            <family val="2"/>
          </rPr>
          <t>Although we are not forecasting explicit share issuances, stock based compensation will eventually increase the basic share count. We need to account for this somehow, otherwise we will be undercounting future basic shares. For simplicty, we are using the SBC expense as a proxy for the current value of common stock issuance.</t>
        </r>
      </text>
    </comment>
    <comment ref="H171" authorId="0" shapeId="0" xr:uid="{35B6BA47-9C5D-4A3C-ABBB-31D75DB15546}">
      <text>
        <r>
          <rPr>
            <sz val="9"/>
            <color indexed="81"/>
            <rFont val="Tahoma"/>
            <family val="2"/>
          </rPr>
          <t xml:space="preserve">Use latest share count or last 12 month average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Matan Feldman</author>
    <author>Wall Street Prep</author>
  </authors>
  <commentList>
    <comment ref="D7" authorId="0" shapeId="0" xr:uid="{853953E1-F17E-4837-902D-3F618D762338}">
      <text>
        <r>
          <rPr>
            <b/>
            <sz val="9"/>
            <color indexed="81"/>
            <rFont val="Tahoma"/>
            <family val="2"/>
          </rPr>
          <t>Matan Feldman:</t>
        </r>
        <r>
          <rPr>
            <sz val="9"/>
            <color indexed="81"/>
            <rFont val="Tahoma"/>
            <family val="2"/>
          </rPr>
          <t xml:space="preserve">
In practice can use the NOW() function to keep current date active</t>
        </r>
      </text>
    </comment>
    <comment ref="H7" authorId="0" shapeId="0" xr:uid="{E4FF4073-C062-467A-9D4A-0AF37EC55040}">
      <text>
        <r>
          <rPr>
            <b/>
            <sz val="9"/>
            <color indexed="81"/>
            <rFont val="Tahoma"/>
            <family val="2"/>
          </rPr>
          <t>Matan Feldman:</t>
        </r>
        <r>
          <rPr>
            <sz val="9"/>
            <color indexed="81"/>
            <rFont val="Tahoma"/>
            <family val="2"/>
          </rPr>
          <t xml:space="preserve">
Midyear convention? (1=Yes,0=No)</t>
        </r>
      </text>
    </comment>
    <comment ref="B23" authorId="0" shapeId="0" xr:uid="{63F7DD08-8540-44D3-955F-55DE5E724661}">
      <text>
        <r>
          <rPr>
            <b/>
            <sz val="9"/>
            <color indexed="81"/>
            <rFont val="Tahoma"/>
            <family val="2"/>
          </rPr>
          <t>Matan Feldman:</t>
        </r>
        <r>
          <rPr>
            <sz val="9"/>
            <color indexed="81"/>
            <rFont val="Tahoma"/>
            <family val="2"/>
          </rPr>
          <t xml:space="preserve">
NOPAT stands for net operating profit after taxes.  It represents a company's operating profits less tax expense on operations.  This means that the tax deductions due to interest expense are ignored in this buildup and are instead captured in the discount rate.</t>
        </r>
      </text>
    </comment>
    <comment ref="E38" authorId="0" shapeId="0" xr:uid="{17E10637-FEB2-44A6-8F3E-EAA4F7038FB5}">
      <text>
        <r>
          <rPr>
            <b/>
            <sz val="9"/>
            <color indexed="81"/>
            <rFont val="Tahoma"/>
            <family val="2"/>
          </rPr>
          <t>Matan Feldman:</t>
        </r>
        <r>
          <rPr>
            <sz val="9"/>
            <color indexed="81"/>
            <rFont val="Tahoma"/>
            <family val="2"/>
          </rPr>
          <t xml:space="preserve">
Stub year adjusted</t>
        </r>
      </text>
    </comment>
    <comment ref="I51" authorId="1" shapeId="0" xr:uid="{055AF01C-F7BA-4862-A36D-8B518280D9B8}">
      <text>
        <r>
          <rPr>
            <b/>
            <sz val="9"/>
            <color indexed="81"/>
            <rFont val="Tahoma"/>
            <family val="2"/>
          </rPr>
          <t>Wall Street Prep:</t>
        </r>
        <r>
          <rPr>
            <sz val="9"/>
            <color indexed="81"/>
            <rFont val="Tahoma"/>
            <family val="2"/>
          </rPr>
          <t xml:space="preserve">
Implied g = [r -FCF(t)/TV]/(1+FCF(t)/TV)</t>
        </r>
      </text>
    </comment>
    <comment ref="I57" authorId="0" shapeId="0" xr:uid="{32453A56-C9DE-4931-AFFF-54839F313417}">
      <text>
        <r>
          <rPr>
            <b/>
            <sz val="9"/>
            <color indexed="81"/>
            <rFont val="Tahoma"/>
            <family val="2"/>
          </rPr>
          <t>Matan Feldman:</t>
        </r>
        <r>
          <rPr>
            <sz val="9"/>
            <color indexed="81"/>
            <rFont val="Tahoma"/>
            <family val="2"/>
          </rPr>
          <t xml:space="preserve">
Source: Q1 2020 10Q p.19 </t>
        </r>
      </text>
    </comment>
    <comment ref="B62" authorId="0" shapeId="0" xr:uid="{E9590E70-9EB9-4A6D-8C22-EFA28FB5F021}">
      <text>
        <r>
          <rPr>
            <b/>
            <sz val="9"/>
            <color indexed="81"/>
            <rFont val="Tahoma"/>
            <family val="2"/>
          </rPr>
          <t>Matan Feldman:</t>
        </r>
        <r>
          <rPr>
            <sz val="9"/>
            <color indexed="81"/>
            <rFont val="Tahoma"/>
            <family val="2"/>
          </rPr>
          <t xml:space="preserve">
Include cash &amp; equivalents, short term and long term marketable securites and investments</t>
        </r>
      </text>
    </comment>
  </commentList>
</comments>
</file>

<file path=xl/sharedStrings.xml><?xml version="1.0" encoding="utf-8"?>
<sst xmlns="http://schemas.openxmlformats.org/spreadsheetml/2006/main" count="1079" uniqueCount="394">
  <si>
    <t>Tax rate</t>
  </si>
  <si>
    <t>Revenue growth</t>
  </si>
  <si>
    <t>Net income</t>
  </si>
  <si>
    <t>Operating profit (EBIT)</t>
  </si>
  <si>
    <t>Interest income</t>
  </si>
  <si>
    <t>Company name</t>
  </si>
  <si>
    <t>Ticker</t>
  </si>
  <si>
    <t>Fiscal year end date</t>
  </si>
  <si>
    <t>Latest fiscal year end date</t>
  </si>
  <si>
    <t>Latest closing share price date</t>
  </si>
  <si>
    <t xml:space="preserve">Fiscal year  </t>
  </si>
  <si>
    <t>Revenue</t>
  </si>
  <si>
    <t>Pretax profit</t>
  </si>
  <si>
    <t>Gross Profit</t>
  </si>
  <si>
    <t>Cost of sales (enter as -)</t>
  </si>
  <si>
    <t>Taxes (enter expense as -)</t>
  </si>
  <si>
    <t>Selling, general &amp; administrative (enter as -)</t>
  </si>
  <si>
    <t>Interest expense (enter as -)</t>
  </si>
  <si>
    <t>Growth rates &amp; margins</t>
  </si>
  <si>
    <t>INCOME STATEMENT</t>
  </si>
  <si>
    <t>BALANCE SHEET</t>
  </si>
  <si>
    <t>Property, plant &amp; equipment</t>
  </si>
  <si>
    <t>Total assets</t>
  </si>
  <si>
    <t>Total liabilities</t>
  </si>
  <si>
    <t>Total equity</t>
  </si>
  <si>
    <t>Balance check</t>
  </si>
  <si>
    <t>Beginning of period</t>
  </si>
  <si>
    <t>End of period</t>
  </si>
  <si>
    <t>PROPERTY, PLANT &amp; EQUIPMENT</t>
  </si>
  <si>
    <t>Plus: Capital expenditures</t>
  </si>
  <si>
    <t>Less: Depreciation</t>
  </si>
  <si>
    <t>CASH FLOW STATEMENT</t>
  </si>
  <si>
    <t>Depreciation and amortization</t>
  </si>
  <si>
    <t>Cash from operating activities</t>
  </si>
  <si>
    <t>Capital expenditures</t>
  </si>
  <si>
    <t>Cash from investing activities</t>
  </si>
  <si>
    <t>Cash from financing activities</t>
  </si>
  <si>
    <t>Net change in cash during period</t>
  </si>
  <si>
    <t>Revolver needs analysis</t>
  </si>
  <si>
    <t>Plus: Free cash flows generated during period</t>
  </si>
  <si>
    <t>Interest expense</t>
  </si>
  <si>
    <t>Interest rate on cash</t>
  </si>
  <si>
    <t>INTEREST EXPENSE AND INTEREST INCOME</t>
  </si>
  <si>
    <t xml:space="preserve">Retained earnings </t>
  </si>
  <si>
    <t>Cash at beginning of period (BOP)</t>
  </si>
  <si>
    <t>EBITDA</t>
  </si>
  <si>
    <t>Step</t>
  </si>
  <si>
    <t>Depreciation &amp; amortization</t>
  </si>
  <si>
    <t>Apple</t>
  </si>
  <si>
    <t>AAPL</t>
  </si>
  <si>
    <t>Research &amp; development (enter as -)</t>
  </si>
  <si>
    <t>Other expense, net (enter as -)</t>
  </si>
  <si>
    <t>Accounts receivable</t>
  </si>
  <si>
    <t>Inventories</t>
  </si>
  <si>
    <t>Other non current assets</t>
  </si>
  <si>
    <t>Accounts payable</t>
  </si>
  <si>
    <t>Other non current liabilities</t>
  </si>
  <si>
    <t>Commercial paper / revolver</t>
  </si>
  <si>
    <t>Common stock</t>
  </si>
  <si>
    <t>Plus: Net income</t>
  </si>
  <si>
    <t>Less: Dividends</t>
  </si>
  <si>
    <t>Less: Repurchases</t>
  </si>
  <si>
    <t>Decreases / (Increases) in working capital assets</t>
  </si>
  <si>
    <t>Increases / (Decreases) in working capital liabilities</t>
  </si>
  <si>
    <t>Long term debt</t>
  </si>
  <si>
    <t>Commercial Paper / Revolver</t>
  </si>
  <si>
    <t>Less: Minimum cash balance</t>
  </si>
  <si>
    <t>Share repurchases</t>
  </si>
  <si>
    <t>Common dividends</t>
  </si>
  <si>
    <t>Adjusted EBITDA</t>
  </si>
  <si>
    <t>Latest closing share price</t>
  </si>
  <si>
    <t>Stock based compensation</t>
  </si>
  <si>
    <t>RETAINED EARNINGS</t>
  </si>
  <si>
    <t>SCENARIO ANALYSIS</t>
  </si>
  <si>
    <t>Select an operating scenario:</t>
  </si>
  <si>
    <t>Base case</t>
  </si>
  <si>
    <t>Best case</t>
  </si>
  <si>
    <t>Weak case</t>
  </si>
  <si>
    <t>WSP Comments</t>
  </si>
  <si>
    <t>Previous year's revenues x (1+revenue growth rate)</t>
  </si>
  <si>
    <t>Plug = Revenue - Gross Profit</t>
  </si>
  <si>
    <t>Revenue x Gross Profit Margin forecast</t>
  </si>
  <si>
    <t>Gross Profit - R&amp;D - SG&amp;A</t>
  </si>
  <si>
    <t>Straight-line</t>
  </si>
  <si>
    <t>Pre-tax Profit x Tax Rate forecast</t>
  </si>
  <si>
    <t>Pre-tax Profit less taxes</t>
  </si>
  <si>
    <t>Reference from interest expense schedule</t>
  </si>
  <si>
    <t>Reference from interest on cash schedule</t>
  </si>
  <si>
    <t>EBIT + interest income less interest expense less other expense</t>
  </si>
  <si>
    <t>EBIT + D&amp;A</t>
  </si>
  <si>
    <t>EBITDA + Stock-based compensation</t>
  </si>
  <si>
    <t>WSP assumption: grow SBC in-line with revenue growth</t>
  </si>
  <si>
    <t>WSP assumption: straight-line</t>
  </si>
  <si>
    <t>Reference from income statement</t>
  </si>
  <si>
    <t>Equals: Cash available (needed) to pay down (draw from) revolver</t>
  </si>
  <si>
    <t>Grow in-line with revenue growth</t>
  </si>
  <si>
    <t>Grow in-line with cost of sales growth</t>
  </si>
  <si>
    <t>Reference from PP&amp;E schedule</t>
  </si>
  <si>
    <t>Reference from Retained Earnings schedule</t>
  </si>
  <si>
    <t>Other current assets</t>
  </si>
  <si>
    <t>Circ break 1=off, 0=on</t>
  </si>
  <si>
    <t xml:space="preserve">Depreciation &amp; Amortization - Total </t>
  </si>
  <si>
    <t>Weighted average interest rate</t>
  </si>
  <si>
    <t>End of period balance (from B/S)</t>
  </si>
  <si>
    <t>Commercial paper / Revolver</t>
  </si>
  <si>
    <t>Interest rate x average of BOP &amp; EOP LTD balances</t>
  </si>
  <si>
    <t>Weighted average interest rate on cash</t>
  </si>
  <si>
    <t>Forecast</t>
  </si>
  <si>
    <t>Other current liabilities</t>
  </si>
  <si>
    <t>Reference from 'net change in cash' line on the cash flow statement</t>
  </si>
  <si>
    <t>Debt balance:</t>
  </si>
  <si>
    <t>Total interest expense (from I/S)</t>
  </si>
  <si>
    <t>Other comprehensive income</t>
  </si>
  <si>
    <t>Long term debt (includes current portion)</t>
  </si>
  <si>
    <t>D&amp;A related to PP&amp;E as a % of capex</t>
  </si>
  <si>
    <t>Less: Amortization of intangible assets</t>
  </si>
  <si>
    <t xml:space="preserve">Plus: Additions </t>
  </si>
  <si>
    <t>WSP assumption</t>
  </si>
  <si>
    <t>Discretionary borrowing / (paydown)</t>
  </si>
  <si>
    <t>OTHER NON-CURRENT ASSETS</t>
  </si>
  <si>
    <t>IMPUTING TOTAL DEPRECIATION &amp; AMORTIZATION</t>
  </si>
  <si>
    <t>REVOLVER (MODEL PLUG)</t>
  </si>
  <si>
    <t>WSP assumption: Straight-line</t>
  </si>
  <si>
    <t>Cash &amp; equivalents, ST and LT marketable securities</t>
  </si>
  <si>
    <t>Increase by stock-based compensation forecasted in the I/S section</t>
  </si>
  <si>
    <r>
      <t xml:space="preserve">D&amp;A </t>
    </r>
    <r>
      <rPr>
        <u/>
        <sz val="11"/>
        <color theme="1"/>
        <rFont val="Calibri"/>
        <family val="2"/>
        <scheme val="minor"/>
      </rPr>
      <t>not</t>
    </r>
    <r>
      <rPr>
        <sz val="11"/>
        <color theme="1"/>
        <rFont val="Calibri"/>
        <family val="2"/>
        <scheme val="minor"/>
      </rPr>
      <t xml:space="preserve"> related to PP&amp;E</t>
    </r>
  </si>
  <si>
    <t>as % of revenue</t>
  </si>
  <si>
    <t>Straight line last historical % of revenue - WSP assumption</t>
  </si>
  <si>
    <t>Reference from D&amp;A schedule</t>
  </si>
  <si>
    <t>D&amp;A from PP&amp;E + D&amp;A not from PP&amp;E</t>
  </si>
  <si>
    <t xml:space="preserve">Assume all D&amp;A not from PP&amp;E is in non-current assets </t>
  </si>
  <si>
    <t>BOP + net income - dividends - repurchases</t>
  </si>
  <si>
    <t>BOP + Capex - Depreciation</t>
  </si>
  <si>
    <t>Capex x 'D&amp;A related to PP&amp;E as a % of capex' ratio (below)</t>
  </si>
  <si>
    <t xml:space="preserve">BOP = Previous year EOP </t>
  </si>
  <si>
    <t>Because we already know the EOP balance, this is a plug: EOP - D&amp;A not from PP&amp;E - BOP</t>
  </si>
  <si>
    <t>Referenced from balance sheet</t>
  </si>
  <si>
    <t>Reference from the I/S</t>
  </si>
  <si>
    <t>Reference from schedule NOT the B/S: Only include 'Additions' (as outflow)</t>
  </si>
  <si>
    <t>Reference prior period EOP from B/S</t>
  </si>
  <si>
    <r>
      <t xml:space="preserve">CFO + CFI + CFF </t>
    </r>
    <r>
      <rPr>
        <u/>
        <sz val="11"/>
        <color theme="1"/>
        <rFont val="Calibri"/>
        <family val="2"/>
        <scheme val="minor"/>
      </rPr>
      <t>except revolver</t>
    </r>
  </si>
  <si>
    <t xml:space="preserve">Cash (paydown) / additional borrowing from revolver. Paydown not to exceed BOP balance. </t>
  </si>
  <si>
    <t>Draw / (paydown)</t>
  </si>
  <si>
    <t>Interest expense from revolver/CP + interest expense from long term debt</t>
  </si>
  <si>
    <t>Interest rate x average of BOP &amp; EOP revolver balances (circularity)</t>
  </si>
  <si>
    <t>Reference from revolver / CP schedule above</t>
  </si>
  <si>
    <t>Reference from B/S</t>
  </si>
  <si>
    <t>Interest rate x average of BOP &amp; EOP cash balances (circularity)</t>
  </si>
  <si>
    <t xml:space="preserve">Interest expense </t>
  </si>
  <si>
    <t>Reference EOP balance from CP/revolver schedule</t>
  </si>
  <si>
    <t>NM</t>
  </si>
  <si>
    <t>base case</t>
  </si>
  <si>
    <t xml:space="preserve">Variance from </t>
  </si>
  <si>
    <t>Active case:</t>
  </si>
  <si>
    <t>% growth</t>
  </si>
  <si>
    <t>EARNINGS PER SHARE</t>
  </si>
  <si>
    <t xml:space="preserve">Basic shares </t>
  </si>
  <si>
    <t>Basic EPS</t>
  </si>
  <si>
    <t>Diluted Shares</t>
  </si>
  <si>
    <t>Diluted EPS</t>
  </si>
  <si>
    <t>Share price increase</t>
  </si>
  <si>
    <t>Average share price</t>
  </si>
  <si>
    <t>Reference from RE schedule - treasury repurchases (flip sign)</t>
  </si>
  <si>
    <t xml:space="preserve">Reference SBC from I/S </t>
  </si>
  <si>
    <t>Reference from I/S</t>
  </si>
  <si>
    <t>$ amount of shares repurchased</t>
  </si>
  <si>
    <t>$ amount of new shares issued</t>
  </si>
  <si>
    <t>Net income / Basic shares</t>
  </si>
  <si>
    <t>Basic shares + Dilutive securities</t>
  </si>
  <si>
    <t>Net income/Diluted Shares</t>
  </si>
  <si>
    <t>Last period share price x (1+growth rate)</t>
  </si>
  <si>
    <t>Gross profit margin</t>
  </si>
  <si>
    <t>R&amp;D % of sales</t>
  </si>
  <si>
    <t>Revenue x R&amp;D % of sales forecast</t>
  </si>
  <si>
    <t>SG&amp;A % of sales</t>
  </si>
  <si>
    <t>Revenue x SG&amp;A % of sales forecast</t>
  </si>
  <si>
    <t>WSP assumption: Straight-line last historical year repurchases</t>
  </si>
  <si>
    <t>Revenue x 'as % of revenue' assumption</t>
  </si>
  <si>
    <t>Shares outstanding (millions)</t>
  </si>
  <si>
    <t>Basic Shares - BOP</t>
  </si>
  <si>
    <t>Net change in basic shares</t>
  </si>
  <si>
    <t>Basic shares - EOP</t>
  </si>
  <si>
    <t>Basic shares - average</t>
  </si>
  <si>
    <t>WSP assumption OR grow with net income growth rate (calculated below)</t>
  </si>
  <si>
    <t>Last period basic shares + ($ shares issued - $ shares repurchased)/Current period average share price OR reference average Basic shares from schedule below</t>
  </si>
  <si>
    <t>Optional analysis for calculating weighted average basic shares</t>
  </si>
  <si>
    <t>Reference from latest share count &gt;</t>
  </si>
  <si>
    <t xml:space="preserve">Link to prior year Basic shares - EOP </t>
  </si>
  <si>
    <t xml:space="preserve"> ($ shares issued - $ shares repurchased)/Current period average share price</t>
  </si>
  <si>
    <t>Basic Shares - BOP + Net change in basic shares</t>
  </si>
  <si>
    <t>Average(Basic Shares BOP,Basic Shares EOP)</t>
  </si>
  <si>
    <t>Commercial paper/ Revolver</t>
  </si>
  <si>
    <t>Deferred revenue (current)</t>
  </si>
  <si>
    <t>WSP assumption: Hold last historical year's dividend payout ratio constant</t>
  </si>
  <si>
    <t>Consensus estimates through 2021; straight-line growth rate thereafter</t>
  </si>
  <si>
    <t>Straight line last historical year</t>
  </si>
  <si>
    <t>First two years - consensus estimates, then grow with revenue</t>
  </si>
  <si>
    <t>Portion of First Year Cash Flows</t>
  </si>
  <si>
    <t>Discount rate (WACC)</t>
  </si>
  <si>
    <t>Source: CIQ</t>
  </si>
  <si>
    <t>Case active:</t>
  </si>
  <si>
    <t>EBIT</t>
  </si>
  <si>
    <t>Changes in net working capital</t>
  </si>
  <si>
    <t>&lt;-Stub year counts first year cash flows starting at the valuation date</t>
  </si>
  <si>
    <t>Terminal value - growth in perpetuity approach</t>
  </si>
  <si>
    <t>Terminal value - EBITDA multiple approach</t>
  </si>
  <si>
    <t>Long term growth rate</t>
  </si>
  <si>
    <t>EBITDA multiple</t>
  </si>
  <si>
    <t>Enterprise value (stage 1 + 2)</t>
  </si>
  <si>
    <t>Implied terminal growth rate</t>
  </si>
  <si>
    <t>Implied TV exit EBITDA multiple</t>
  </si>
  <si>
    <t>Net debt</t>
  </si>
  <si>
    <t>Shares outstanding</t>
  </si>
  <si>
    <t>Total proceeds ($mm)</t>
  </si>
  <si>
    <t>Total shares repurchased (mm)</t>
  </si>
  <si>
    <t>Nonoperating assets</t>
  </si>
  <si>
    <t>Net diluted shares outstanding</t>
  </si>
  <si>
    <t>Valuation</t>
  </si>
  <si>
    <t>Perpetuity</t>
  </si>
  <si>
    <t>Enterprise value</t>
  </si>
  <si>
    <t>Equity value per share</t>
  </si>
  <si>
    <t>Long term growth rate (g):</t>
  </si>
  <si>
    <t>WACC:</t>
  </si>
  <si>
    <t xml:space="preserve">Data </t>
  </si>
  <si>
    <t>Tables</t>
  </si>
  <si>
    <t>Exit EBITDA Multiple</t>
  </si>
  <si>
    <t>Equity value range</t>
  </si>
  <si>
    <t>Football field</t>
  </si>
  <si>
    <t>Low</t>
  </si>
  <si>
    <t>Diff.</t>
  </si>
  <si>
    <t>High</t>
  </si>
  <si>
    <t>52 Week Market High/Low</t>
  </si>
  <si>
    <t>WACC Buildup</t>
  </si>
  <si>
    <t>Cost of capital assumptions</t>
  </si>
  <si>
    <t>Date</t>
  </si>
  <si>
    <t>Source</t>
  </si>
  <si>
    <t>Cost of debt</t>
  </si>
  <si>
    <t>Beta</t>
  </si>
  <si>
    <t>Market risk premium</t>
  </si>
  <si>
    <t>Cost of equity</t>
  </si>
  <si>
    <t>% of total</t>
  </si>
  <si>
    <t>Cost of capital (WACC)</t>
  </si>
  <si>
    <r>
      <t xml:space="preserve">Observed </t>
    </r>
    <r>
      <rPr>
        <sz val="11"/>
        <color theme="1"/>
        <rFont val="Symbol"/>
        <family val="1"/>
        <charset val="2"/>
      </rPr>
      <t>b</t>
    </r>
  </si>
  <si>
    <t>Share price</t>
  </si>
  <si>
    <t>Dil. shares</t>
  </si>
  <si>
    <t>Market cap</t>
  </si>
  <si>
    <t>Debt</t>
  </si>
  <si>
    <r>
      <t xml:space="preserve">Delev. </t>
    </r>
    <r>
      <rPr>
        <sz val="11"/>
        <color theme="1"/>
        <rFont val="Symbol"/>
        <family val="1"/>
        <charset val="2"/>
      </rPr>
      <t>b</t>
    </r>
  </si>
  <si>
    <t>Industry average delevered beta</t>
  </si>
  <si>
    <t>WACC sensitivity to MRP and Beta</t>
  </si>
  <si>
    <t>Market</t>
  </si>
  <si>
    <t>Risk</t>
  </si>
  <si>
    <t>Premium</t>
  </si>
  <si>
    <t>% margin</t>
  </si>
  <si>
    <t>Present value of of unlevered free cash flows</t>
  </si>
  <si>
    <t>Terminal value as % of TEV</t>
  </si>
  <si>
    <t>Total enterprise value (TEV)</t>
  </si>
  <si>
    <t>Cash flows as % of TEV</t>
  </si>
  <si>
    <t>Present value of terminal value</t>
  </si>
  <si>
    <t>Present value of stage 1 cash flows</t>
  </si>
  <si>
    <t>Stage 1 cash flows as % of TEV</t>
  </si>
  <si>
    <t>Terminal year EBITDA</t>
  </si>
  <si>
    <t xml:space="preserve">Equity value </t>
  </si>
  <si>
    <t>Actual</t>
  </si>
  <si>
    <t>Forecasts</t>
  </si>
  <si>
    <t>Unlevered Free Cash Flows</t>
  </si>
  <si>
    <t>LTM</t>
  </si>
  <si>
    <t>Date for discounting cash flows</t>
  </si>
  <si>
    <t>Unlevered free cash flows (UFCF) stub adjusted</t>
  </si>
  <si>
    <t>Val date</t>
  </si>
  <si>
    <t>Year 2</t>
  </si>
  <si>
    <t>Year 3</t>
  </si>
  <si>
    <t>Year 4</t>
  </si>
  <si>
    <t>Year 5</t>
  </si>
  <si>
    <t xml:space="preserve">Yr 1 - Stub </t>
  </si>
  <si>
    <t>Net working capital (WC Assets - WC liabilities)</t>
  </si>
  <si>
    <t>NOPAT (aka EBIAT)</t>
  </si>
  <si>
    <t>options</t>
  </si>
  <si>
    <t>price</t>
  </si>
  <si>
    <t xml:space="preserve">Exercise </t>
  </si>
  <si>
    <t>Tranche 1</t>
  </si>
  <si>
    <t>Tranche 2</t>
  </si>
  <si>
    <t>Tranche 3</t>
  </si>
  <si>
    <t>Tranche 4</t>
  </si>
  <si>
    <t>Tranche 5</t>
  </si>
  <si>
    <t>Tranche 6</t>
  </si>
  <si>
    <t>Tranche 7</t>
  </si>
  <si>
    <t>In-the-$</t>
  </si>
  <si>
    <t>Net dilutive impact of stock options</t>
  </si>
  <si>
    <t xml:space="preserve">Stock options - Treasury stock method </t>
  </si>
  <si>
    <t>Total</t>
  </si>
  <si>
    <t>Convertible debt</t>
  </si>
  <si>
    <t>Options / warrants</t>
  </si>
  <si>
    <t>Convertible preferred stock</t>
  </si>
  <si>
    <t>Shares</t>
  </si>
  <si>
    <t>Restricted stock / RSUs</t>
  </si>
  <si>
    <t>Conversion price</t>
  </si>
  <si>
    <t>Preferred stock</t>
  </si>
  <si>
    <t>Gross debt and equivalents</t>
  </si>
  <si>
    <t xml:space="preserve">Equity investments </t>
  </si>
  <si>
    <t>LTM EBITDA multiple</t>
  </si>
  <si>
    <t xml:space="preserve">Cash </t>
  </si>
  <si>
    <t>Noncontrolling (minority) interests</t>
  </si>
  <si>
    <t>Common shares convertible into</t>
  </si>
  <si>
    <t>Dilutive impact of convertible securities</t>
  </si>
  <si>
    <t>Year 1</t>
  </si>
  <si>
    <t>Last twelve months (LTM)</t>
  </si>
  <si>
    <t xml:space="preserve">EBITDA </t>
  </si>
  <si>
    <t>EV / Revenue</t>
  </si>
  <si>
    <t xml:space="preserve">EV / EBITDA </t>
  </si>
  <si>
    <t>EV / EBIT</t>
  </si>
  <si>
    <t>Basic shares</t>
  </si>
  <si>
    <t>Source date</t>
  </si>
  <si>
    <t>Cost of debt (after tax)</t>
  </si>
  <si>
    <t xml:space="preserve">Beta </t>
  </si>
  <si>
    <t xml:space="preserve">Risk free rate </t>
  </si>
  <si>
    <t>Discounted Cash Flow Valuation</t>
  </si>
  <si>
    <t>Share price (Public Co)</t>
  </si>
  <si>
    <t>Most recent fiscal year end</t>
  </si>
  <si>
    <t>End of first fiscal year</t>
  </si>
  <si>
    <t>Most recent quarter end date</t>
  </si>
  <si>
    <t xml:space="preserve">Valuation date </t>
  </si>
  <si>
    <t>Link from WACC</t>
  </si>
  <si>
    <t>Industry beta</t>
  </si>
  <si>
    <t>Net Debt</t>
  </si>
  <si>
    <t>Outputs</t>
  </si>
  <si>
    <t>Source doc</t>
  </si>
  <si>
    <t xml:space="preserve">Current </t>
  </si>
  <si>
    <t xml:space="preserve">Target </t>
  </si>
  <si>
    <t>(override)</t>
  </si>
  <si>
    <t>Capital weights (capital structure)</t>
  </si>
  <si>
    <t>Equity</t>
  </si>
  <si>
    <t>Microsoft MSFT</t>
  </si>
  <si>
    <t>Alphabet (GOOG)</t>
  </si>
  <si>
    <t>Amazon (AMZN)</t>
  </si>
  <si>
    <t>Apple (AAPL)</t>
  </si>
  <si>
    <t>Observed</t>
  </si>
  <si>
    <t>From schedule below</t>
  </si>
  <si>
    <t>Fiscal year ended</t>
  </si>
  <si>
    <t>Year 1 EBITDA multiple</t>
  </si>
  <si>
    <t>Year 1 Multiples</t>
  </si>
  <si>
    <t>Tax on EBIT</t>
  </si>
  <si>
    <t>Share price date</t>
  </si>
  <si>
    <t>Portion of year 1 cash flows in forecast</t>
  </si>
  <si>
    <t>Unlevered free cash flows (UFCF)</t>
  </si>
  <si>
    <t>Capex as % of revenue</t>
  </si>
  <si>
    <t xml:space="preserve">Revenue  </t>
  </si>
  <si>
    <t>% Revenue growth</t>
  </si>
  <si>
    <t xml:space="preserve">Fiscal year ended September 30, </t>
  </si>
  <si>
    <t>Q1 2020 10Q</t>
  </si>
  <si>
    <t>Midyear adjustment?</t>
  </si>
  <si>
    <t>Current share price</t>
  </si>
  <si>
    <t>Shares - Options and Convertibles</t>
  </si>
  <si>
    <t xml:space="preserve">Principal Outstanding </t>
  </si>
  <si>
    <t>Conversion ratio</t>
  </si>
  <si>
    <t>Convertible Debt</t>
  </si>
  <si>
    <t>Convertible Preferred Stock</t>
  </si>
  <si>
    <t>Preferred shares outstanding</t>
  </si>
  <si>
    <t>Convertible securities "if-converted" test</t>
  </si>
  <si>
    <t>Convertible Preferred Par Value</t>
  </si>
  <si>
    <t>Elimination of liability from net debt</t>
  </si>
  <si>
    <t>Outstanding</t>
  </si>
  <si>
    <t>Each $1,000 in principal convertible into (Conversion ratio)</t>
  </si>
  <si>
    <t>Bloomberg - YTM on 2.2% 9/29 Bond</t>
  </si>
  <si>
    <t>WSJ: 10 Year US Treasury Yield</t>
  </si>
  <si>
    <t>Bloomberg 2 year weekly adjusted beta</t>
  </si>
  <si>
    <t>Market risk premium from D&amp;P May 1, 2019</t>
  </si>
  <si>
    <t>Stub %</t>
  </si>
  <si>
    <t>Select Beta for model</t>
  </si>
  <si>
    <t>&lt;-These are for illustrative purposes, Apple doesn't have options</t>
  </si>
  <si>
    <t>&lt;-These are for illustrative purposes, Apple doesn't have convertible debt</t>
  </si>
  <si>
    <t>&lt;-These are for illustrative purposes, Apple doesn't have convertible preferred stock</t>
  </si>
  <si>
    <t>Financials</t>
  </si>
  <si>
    <t>&lt;-This will change if you reference WACC from the WACC worksheet</t>
  </si>
  <si>
    <t>&lt;-This will change if you reference illustrative convertible stock from Shares worksheet</t>
  </si>
  <si>
    <t>&lt;-This will change if you reference illustrative options from Shares worksheet</t>
  </si>
  <si>
    <t>&lt;-This will change if you reference illustrative convertible debt from Shares worksheet</t>
  </si>
  <si>
    <t>&lt;-Illustrative only - Apple doesn't have options</t>
  </si>
  <si>
    <t>&lt;-Illustrative only - Apple doesn't have convertible debt</t>
  </si>
  <si>
    <t>&lt;-Illustrative only - Apple doesn't have convertible preferred stock</t>
  </si>
  <si>
    <t xml:space="preserve">$ and shares in millions, except per share data </t>
  </si>
  <si>
    <t>Last period * (1+% growth)</t>
  </si>
  <si>
    <t>EBITDA % margin assumption x Revenue</t>
  </si>
  <si>
    <t>EBIT % margin assumption x Revenue</t>
  </si>
  <si>
    <t>Tax rate * EBIT</t>
  </si>
  <si>
    <t>EBIT - Taxes</t>
  </si>
  <si>
    <t>EBITDA - EBIT</t>
  </si>
  <si>
    <t>Revenue * NWC as % of revenue</t>
  </si>
  <si>
    <t>Last period WC - Current period WC</t>
  </si>
  <si>
    <t>Capex as % of revenue * Revenue</t>
  </si>
  <si>
    <t>NOPAT + D&amp;A + Changes in NWC - Capex</t>
  </si>
  <si>
    <t>From terminal year of UFCF forecast</t>
  </si>
  <si>
    <t>Cost of debt x (1 - tax rate)</t>
  </si>
  <si>
    <t>RfR + Beta x MRP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</si>
</sst>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3">
    <numFmt numFmtId="164" formatCode="&quot;$&quot;#,##0_);\(&quot;$&quot;#,##0\)"/>
    <numFmt numFmtId="165" formatCode="&quot;$&quot;#,##0_);[Red]\(&quot;$&quot;#,##0\)"/>
    <numFmt numFmtId="166" formatCode="&quot;$&quot;#,##0.00_);\(&quot;$&quot;#,##0.00\)"/>
    <numFmt numFmtId="167" formatCode="&quot;$&quot;#,##0.00_);[Red]\(&quot;$&quot;#,##0.00\)"/>
    <numFmt numFmtId="168" formatCode="_(* #,##0.00_);_(* \(#,##0.00\);_(* &quot;-&quot;??_);_(@_)"/>
    <numFmt numFmtId="169" formatCode="0.0%_);\(0.0%\);@_)"/>
    <numFmt numFmtId="170" formatCode="#,##0.0_);\(#,##0.0\);@_)"/>
    <numFmt numFmtId="171" formatCode="#,##0.00_);\(#,##0\)"/>
    <numFmt numFmtId="172" formatCode="#,##0.0%_);\(#,##0.0%\)"/>
    <numFmt numFmtId="173" formatCode="0.0\ \x"/>
    <numFmt numFmtId="174" formatCode="#,##0.00\ ;\(#,##0.00\)"/>
    <numFmt numFmtId="175" formatCode="&quot;$&quot;#,##0.00\ ;\(&quot;$&quot;#,##0.00\)"/>
    <numFmt numFmtId="176" formatCode="0.0%_);\(0.0%\)"/>
    <numFmt numFmtId="177" formatCode="0.000\ \x&quot;rate&quot;"/>
    <numFmt numFmtId="178" formatCode="#,##0.000_);[Red]\(#,##0.000\)"/>
    <numFmt numFmtId="179" formatCode="0.00_);\(0.00\);0.00"/>
    <numFmt numFmtId="180" formatCode="\C&quot;$&quot;#,##0.00_);[Red]\(&quot;$&quot;#,##0.00\)"/>
    <numFmt numFmtId="181" formatCode="#,##0%_);\(#,##0.0%\)"/>
    <numFmt numFmtId="182" formatCode="_(* #,##0.00000000_);_(* \(#,##0.00000000\);_(* &quot;-&quot;?_);_(@_)"/>
    <numFmt numFmtId="183" formatCode="mmm\-d\-yyyy"/>
    <numFmt numFmtId="184" formatCode="mmm\-yyyy"/>
    <numFmt numFmtId="185" formatCode="yyyy"/>
    <numFmt numFmtId="186" formatCode="0.00\x&quot;rate&quot;"/>
    <numFmt numFmtId="187" formatCode="0.0&quot;  &quot;"/>
    <numFmt numFmtId="188" formatCode="&quot;$&quot;#,##0.0\ ;[Red]\(&quot;$&quot;#,##0\)"/>
    <numFmt numFmtId="189" formatCode="&quot;$&quot;#,##0.000_);[Red]\(&quot;$&quot;#,##0.000\)"/>
    <numFmt numFmtId="190" formatCode="&quot;$&quot;#,##0.00&quot;A&quot;;[Red]\(&quot;$&quot;#,##0.00\)&quot;A&quot;"/>
    <numFmt numFmtId="191" formatCode="#,##0.0\ ;[Red]\(&quot;$&quot;#,##0\)"/>
    <numFmt numFmtId="192" formatCode="&quot;$&quot;#,##0.00&quot;E&quot;;[Red]\(&quot;$&quot;#,##0.00\)&quot;E&quot;"/>
    <numFmt numFmtId="193" formatCode="_([$€-2]* #,##0.00_);_([$€-2]* \(#,##0.00\);_([$€-2]* &quot;-&quot;??_)"/>
    <numFmt numFmtId="194" formatCode="#,##0.00;\(#,##0.00\)"/>
    <numFmt numFmtId="195" formatCode=".%\,\(0.0%%;\t"/>
    <numFmt numFmtId="196" formatCode="#,##0.0_);[Red]\(#,##0.0\)"/>
    <numFmt numFmtId="197" formatCode="0.0%_);[Red]\(0.0%\)"/>
    <numFmt numFmtId="198" formatCode="0.00_);\(0.00\);0.00_)"/>
    <numFmt numFmtId="199" formatCode="0.0%"/>
    <numFmt numFmtId="200" formatCode="#,##0\x"/>
    <numFmt numFmtId="201" formatCode="&quot;TKR&quot;\ 0"/>
    <numFmt numFmtId="202" formatCode=".%\,\(0.%%;\t"/>
    <numFmt numFmtId="203" formatCode="&quot;$&quot;#,###.0\ \ "/>
    <numFmt numFmtId="204" formatCode="#,##0.00\x_);[Red]\(#,##0.00\x\)"/>
    <numFmt numFmtId="205" formatCode="#,##0.0_);\(#,##0.0\)"/>
    <numFmt numFmtId="206" formatCode="#,##0.000_);\(#,##0.000\)"/>
    <numFmt numFmtId="207" formatCode="#,##0.00\x_);[Red]\(#,##0.00\x\);&quot;--  &quot;"/>
    <numFmt numFmtId="208" formatCode="_(* #,##0.0_);_(* \(#,##0.0\);_(* &quot;-&quot;??_);_(@_)"/>
    <numFmt numFmtId="209" formatCode="0.0\x_);[Red]\(0.0\x\)"/>
    <numFmt numFmtId="210" formatCode="0.0\ "/>
    <numFmt numFmtId="211" formatCode="&quot;$&quot;#,##0.0;\(&quot;$&quot;#,##0.00\)"/>
    <numFmt numFmtId="212" formatCode="#,##0.00%_);\(#,##0.00%\)"/>
    <numFmt numFmtId="213" formatCode="0.00\%;\-0.00\%;0.00\%"/>
    <numFmt numFmtId="214" formatCode="0.0%\ ;\(0.0%\)"/>
    <numFmt numFmtId="215" formatCode="_(&quot;$&quot;* #,##0_);_(&quot;$&quot;* \(#,##0\);_(&quot;$&quot;* &quot;-&quot;??_);_(@_)"/>
    <numFmt numFmtId="216" formatCode="&quot;$&quot;0.00\ "/>
    <numFmt numFmtId="217" formatCode="0.0\ \ \ \ \ "/>
    <numFmt numFmtId="218" formatCode="0.00\x;\-0.00\x;0.00\x"/>
    <numFmt numFmtId="219" formatCode="&quot;$&quot;#,##0.000_);\(&quot;$&quot;#,##0.000\)"/>
    <numFmt numFmtId="220" formatCode="#,##0.0_);\(#,##0.0\);_(* &quot;-&quot;_)"/>
    <numFmt numFmtId="221" formatCode="_(&quot;$&quot;* #,##0.00_);_(&quot;$&quot;* \(#,##0.00\);_(* &quot;-&quot;_);_(@_)"/>
    <numFmt numFmtId="222" formatCode="0.00%_);[Red]\(0.00%\)"/>
    <numFmt numFmtId="223" formatCode="#,##0.0\x_);\(#,##0.0\x\)"/>
    <numFmt numFmtId="224" formatCode="#,##0.00\x_);\(#,##0.00\x\)"/>
    <numFmt numFmtId="225" formatCode="###0&quot;E&quot;_)"/>
    <numFmt numFmtId="226" formatCode="0\A;[Red]0\A"/>
    <numFmt numFmtId="227" formatCode="0\P_);\(0\P\)"/>
    <numFmt numFmtId="228" formatCode="m/d/yy;@"/>
    <numFmt numFmtId="229" formatCode="#,##0_);\(#,##0\);@_)"/>
    <numFmt numFmtId="230" formatCode="0.00%_);\(0.00%\);@_)"/>
    <numFmt numFmtId="231" formatCode="0%_);\(0%\);@_)"/>
    <numFmt numFmtId="232" formatCode="[&gt;1]&quot;10Q: &quot;0&quot; qtrs&quot;;&quot;10Q: &quot;0&quot; qtr&quot;"/>
    <numFmt numFmtId="233" formatCode="&quot;$&quot;#,##0.00_);[Red]\(&quot;$&quot;#,##0.00\);&quot;--  &quot;;_(@_)"/>
    <numFmt numFmtId="234" formatCode="mmm\-dd\-yy"/>
    <numFmt numFmtId="235" formatCode="mmm\-dd\-yyyy"/>
    <numFmt numFmtId="236" formatCode="#,##0.0_);[Red]\(#,##0.0\);&quot;--  &quot;"/>
    <numFmt numFmtId="237" formatCode="0.00\x"/>
    <numFmt numFmtId="238" formatCode="0.0&quot; years&quot;"/>
    <numFmt numFmtId="239" formatCode="_(#,##0.0%_);\(#,##0.0%\);_(&quot;–&quot;_)_%;_(@_)_%"/>
    <numFmt numFmtId="240" formatCode="_(#,##0_)_%;\(#,##0\)_%;_(&quot;–&quot;_)_%;_(@_)_%"/>
    <numFmt numFmtId="241" formatCode="_(#,##0.00%_);\(#,##0.00%\);_(&quot;–&quot;_)_%;_(@_)_%"/>
    <numFmt numFmtId="242" formatCode="_([$$]#,##0.00_)_%;\([$$]#,##0.00\)_%;_(&quot;–&quot;_)_%;_(@_)_%"/>
    <numFmt numFmtId="243" formatCode="0000\A"/>
    <numFmt numFmtId="244" formatCode="0000\P"/>
    <numFmt numFmtId="245" formatCode="0.0\x_);\(0.0\x\);@_)"/>
    <numFmt numFmtId="246" formatCode="0.000%_);\(0.000%\);@_)"/>
    <numFmt numFmtId="247" formatCode="#,##0.000_);\(#,##0.000\);@_)"/>
    <numFmt numFmtId="248" formatCode="_([$$]#,##0_)_%;\([$$]#,##0\)_%;_(&quot;–&quot;_)_%;_(@_)_%"/>
    <numFmt numFmtId="249" formatCode="#,##0.000"/>
    <numFmt numFmtId="250" formatCode="&quot;$&quot;#,##0.00_);\(&quot;$&quot;#,##0.00\);@_)"/>
    <numFmt numFmtId="251" formatCode="#,##0.00_);\(#,##0.00\);\-_);@_)"/>
    <numFmt numFmtId="252" formatCode="#,##0.0_);\(#,##0.0\);\-_);@_)"/>
    <numFmt numFmtId="253" formatCode="0.000"/>
    <numFmt numFmtId="254" formatCode="_(0.0\x_)_';_(\(0.0\x\)_';_(&quot;–&quot;_)_%;_(@_)_%"/>
    <numFmt numFmtId="255" formatCode="_(0.0_)_'_x;_(\(0.0\)_';_(&quot;–&quot;_)_%;_(@_)_%"/>
    <numFmt numFmtId="256" formatCode="[$$-380A]\ #,##0.00;\-[$$-380A]\ #,##0.00"/>
  </numFmts>
  <fonts count="104">
    <font>
      <sz val="11"/>
      <color theme="1"/>
      <name val="Calibri"/>
      <family val="2"/>
      <scheme val="minor"/>
    </font>
    <font>
      <sz val="11"/>
      <color rgb="FF0000FF"/>
      <name val="Calibri"/>
      <family val="2"/>
      <scheme val="minor"/>
    </font>
    <font>
      <sz val="11"/>
      <color rgb="FF000000"/>
      <name val="Calibri"/>
      <family val="2"/>
      <scheme val="minor"/>
    </font>
    <font>
      <sz val="10"/>
      <name val="GillSans"/>
    </font>
    <font>
      <sz val="8"/>
      <color indexed="49"/>
      <name val="Times New Roman"/>
      <family val="1"/>
    </font>
    <font>
      <sz val="10"/>
      <name val="Arial"/>
      <family val="2"/>
    </font>
    <font>
      <sz val="10"/>
      <name val="Trebuchet MS"/>
      <family val="2"/>
    </font>
    <font>
      <sz val="11"/>
      <color indexed="8"/>
      <name val="Calibri"/>
      <family val="2"/>
    </font>
    <font>
      <sz val="11"/>
      <color indexed="9"/>
      <name val="Calibri"/>
      <family val="2"/>
    </font>
    <font>
      <sz val="11"/>
      <color indexed="20"/>
      <name val="Calibri"/>
      <family val="2"/>
    </font>
    <font>
      <sz val="8"/>
      <name val="Times New Roman"/>
      <family val="1"/>
    </font>
    <font>
      <sz val="10"/>
      <name val="Times New Roman"/>
      <family val="1"/>
    </font>
    <font>
      <b/>
      <sz val="18"/>
      <name val="Tms Rmn"/>
    </font>
    <font>
      <b/>
      <sz val="11"/>
      <color indexed="52"/>
      <name val="Calibri"/>
      <family val="2"/>
    </font>
    <font>
      <b/>
      <sz val="11"/>
      <color indexed="9"/>
      <name val="Calibri"/>
      <family val="2"/>
    </font>
    <font>
      <b/>
      <sz val="7"/>
      <name val="GillSans"/>
    </font>
    <font>
      <sz val="10"/>
      <name val="Geneva"/>
    </font>
    <font>
      <sz val="24"/>
      <name val="Arial"/>
      <family val="2"/>
    </font>
    <font>
      <sz val="8"/>
      <name val="Arial"/>
      <family val="2"/>
    </font>
    <font>
      <sz val="10"/>
      <name val="Helvetica"/>
      <family val="2"/>
    </font>
    <font>
      <b/>
      <sz val="8"/>
      <name val="Arial"/>
      <family val="2"/>
    </font>
    <font>
      <b/>
      <sz val="8"/>
      <name val="Times New Roman"/>
      <family val="1"/>
    </font>
    <font>
      <i/>
      <sz val="11"/>
      <color indexed="23"/>
      <name val="Calibri"/>
      <family val="2"/>
    </font>
    <font>
      <sz val="11"/>
      <color indexed="17"/>
      <name val="Calibri"/>
      <family val="2"/>
    </font>
    <font>
      <i/>
      <sz val="8"/>
      <color indexed="17"/>
      <name val="Times New Roman"/>
      <family val="1"/>
    </font>
    <font>
      <sz val="8"/>
      <color indexed="21"/>
      <name val="Arial"/>
      <family val="2"/>
    </font>
    <font>
      <b/>
      <sz val="15"/>
      <color indexed="56"/>
      <name val="Calibri"/>
      <family val="2"/>
    </font>
    <font>
      <b/>
      <sz val="13"/>
      <color indexed="56"/>
      <name val="Calibri"/>
      <family val="2"/>
    </font>
    <font>
      <b/>
      <sz val="11"/>
      <color indexed="56"/>
      <name val="Calibri"/>
      <family val="2"/>
    </font>
    <font>
      <sz val="10"/>
      <color indexed="12"/>
      <name val="Trebuchet MS"/>
      <family val="2"/>
    </font>
    <font>
      <sz val="10"/>
      <name val="MS Sans Serif"/>
      <family val="2"/>
    </font>
    <font>
      <sz val="11"/>
      <color indexed="62"/>
      <name val="Calibri"/>
      <family val="2"/>
    </font>
    <font>
      <b/>
      <sz val="10"/>
      <color indexed="9"/>
      <name val="Tms Rmn"/>
    </font>
    <font>
      <b/>
      <sz val="10"/>
      <name val="Arial"/>
      <family val="2"/>
    </font>
    <font>
      <sz val="11"/>
      <color indexed="52"/>
      <name val="Calibri"/>
      <family val="2"/>
    </font>
    <font>
      <sz val="8"/>
      <color indexed="18"/>
      <name val="Times New Roman"/>
      <family val="1"/>
    </font>
    <font>
      <sz val="11"/>
      <color indexed="60"/>
      <name val="Calibri"/>
      <family val="2"/>
    </font>
    <font>
      <b/>
      <sz val="11"/>
      <color indexed="63"/>
      <name val="Calibri"/>
      <family val="2"/>
    </font>
    <font>
      <sz val="10"/>
      <name val="Palatino"/>
    </font>
    <font>
      <sz val="12"/>
      <name val="Baskerville MT"/>
    </font>
    <font>
      <u/>
      <sz val="10"/>
      <name val="GillSans"/>
      <family val="2"/>
    </font>
    <font>
      <sz val="10"/>
      <name val="GillSans Light"/>
    </font>
    <font>
      <b/>
      <sz val="12"/>
      <name val="Arial"/>
      <family val="2"/>
    </font>
    <font>
      <b/>
      <sz val="16"/>
      <name val="Arial"/>
      <family val="2"/>
    </font>
    <font>
      <sz val="8"/>
      <name val="MS Sans Serif"/>
      <family val="2"/>
    </font>
    <font>
      <sz val="8.25"/>
      <color indexed="8"/>
      <name val="Arial"/>
      <family val="2"/>
    </font>
    <font>
      <b/>
      <u val="singleAccounting"/>
      <sz val="8"/>
      <color indexed="8"/>
      <name val="Arial"/>
      <family val="2"/>
    </font>
    <font>
      <sz val="8"/>
      <color indexed="8"/>
      <name val="Arial"/>
      <family val="2"/>
    </font>
    <font>
      <sz val="8"/>
      <color indexed="39"/>
      <name val="Arial"/>
      <family val="2"/>
    </font>
    <font>
      <sz val="7"/>
      <name val="Times New Roman"/>
      <family val="1"/>
    </font>
    <font>
      <sz val="7"/>
      <color indexed="17"/>
      <name val="Times New Roman"/>
      <family val="1"/>
    </font>
    <font>
      <sz val="7"/>
      <color indexed="18"/>
      <name val="Times New Roman"/>
      <family val="1"/>
    </font>
    <font>
      <b/>
      <sz val="12"/>
      <name val="GillSans"/>
      <family val="2"/>
    </font>
    <font>
      <b/>
      <sz val="18"/>
      <color indexed="56"/>
      <name val="Cambria"/>
      <family val="2"/>
    </font>
    <font>
      <b/>
      <sz val="11"/>
      <name val="GillSans"/>
    </font>
    <font>
      <b/>
      <sz val="8"/>
      <color indexed="18"/>
      <name val="Times New Roman"/>
      <family val="1"/>
    </font>
    <font>
      <i/>
      <sz val="8"/>
      <name val="Times New Roman"/>
      <family val="1"/>
    </font>
    <font>
      <u/>
      <sz val="11"/>
      <name val="GillSans"/>
      <family val="2"/>
    </font>
    <font>
      <b/>
      <sz val="11"/>
      <color indexed="8"/>
      <name val="Calibri"/>
      <family val="2"/>
    </font>
    <font>
      <sz val="11"/>
      <color indexed="10"/>
      <name val="Calibri"/>
      <family val="2"/>
    </font>
    <font>
      <b/>
      <sz val="11"/>
      <color rgb="FF000000"/>
      <name val="Calibri"/>
      <family val="2"/>
      <scheme val="minor"/>
    </font>
    <font>
      <sz val="9"/>
      <color indexed="81"/>
      <name val="Tahoma"/>
      <family val="2"/>
    </font>
    <font>
      <i/>
      <sz val="11"/>
      <color rgb="FF000000"/>
      <name val="Calibri"/>
      <family val="2"/>
      <scheme val="minor"/>
    </font>
    <font>
      <b/>
      <sz val="11"/>
      <color theme="1"/>
      <name val="Calibri"/>
      <family val="2"/>
      <scheme val="minor"/>
    </font>
    <font>
      <i/>
      <sz val="11"/>
      <color theme="1"/>
      <name val="Calibri"/>
      <family val="2"/>
      <scheme val="minor"/>
    </font>
    <font>
      <i/>
      <sz val="11"/>
      <color rgb="FF0000FF"/>
      <name val="Calibri"/>
      <family val="2"/>
      <scheme val="minor"/>
    </font>
    <font>
      <u/>
      <sz val="11"/>
      <color theme="1"/>
      <name val="Calibri"/>
      <family val="2"/>
      <scheme val="minor"/>
    </font>
    <font>
      <sz val="10"/>
      <color indexed="8"/>
      <name val="Arial"/>
      <family val="2"/>
    </font>
    <font>
      <b/>
      <sz val="8"/>
      <color indexed="8"/>
      <name val="Verdana"/>
      <family val="2"/>
    </font>
    <font>
      <sz val="8"/>
      <color indexed="12"/>
      <name val="Arial"/>
      <family val="2"/>
    </font>
    <font>
      <sz val="1"/>
      <color indexed="9"/>
      <name val="Symbol"/>
      <family val="1"/>
      <charset val="2"/>
    </font>
    <font>
      <sz val="11"/>
      <color indexed="8"/>
      <name val="Calibri"/>
      <family val="2"/>
      <scheme val="minor"/>
    </font>
    <font>
      <b/>
      <u val="singleAccounting"/>
      <sz val="8"/>
      <color indexed="8"/>
      <name val="Verdana"/>
      <family val="2"/>
    </font>
    <font>
      <b/>
      <sz val="10"/>
      <color indexed="9"/>
      <name val="Arial"/>
      <family val="2"/>
    </font>
    <font>
      <b/>
      <sz val="12"/>
      <color indexed="8"/>
      <name val="Verdana"/>
      <family val="2"/>
    </font>
    <font>
      <sz val="8"/>
      <color indexed="10"/>
      <name val="Arial"/>
      <family val="2"/>
    </font>
    <font>
      <b/>
      <sz val="8"/>
      <color indexed="9"/>
      <name val="Verdana"/>
      <family val="2"/>
    </font>
    <font>
      <vertAlign val="subscript"/>
      <sz val="8"/>
      <color indexed="8"/>
      <name val="Arial"/>
      <family val="2"/>
    </font>
    <font>
      <vertAlign val="superscript"/>
      <sz val="8"/>
      <color indexed="8"/>
      <name val="Arial"/>
      <family val="2"/>
    </font>
    <font>
      <b/>
      <sz val="8"/>
      <color indexed="8"/>
      <name val="Arial"/>
      <family val="2"/>
    </font>
    <font>
      <i/>
      <sz val="8"/>
      <color indexed="8"/>
      <name val="Arial"/>
      <family val="2"/>
    </font>
    <font>
      <b/>
      <sz val="13"/>
      <color indexed="8"/>
      <name val="Verdana"/>
      <family val="2"/>
    </font>
    <font>
      <sz val="11"/>
      <name val="Calibri"/>
      <family val="2"/>
      <scheme val="minor"/>
    </font>
    <font>
      <b/>
      <u/>
      <sz val="11"/>
      <color theme="1"/>
      <name val="Calibri"/>
      <family val="2"/>
      <scheme val="minor"/>
    </font>
    <font>
      <sz val="11"/>
      <color rgb="FF000000"/>
      <name val="Times New Roman"/>
      <family val="1"/>
    </font>
    <font>
      <sz val="8"/>
      <color rgb="FFFF0000"/>
      <name val="Calibri"/>
      <family val="2"/>
      <scheme val="minor"/>
    </font>
    <font>
      <sz val="9"/>
      <color rgb="FF008000"/>
      <name val="Calibri"/>
      <family val="2"/>
      <scheme val="minor"/>
    </font>
    <font>
      <b/>
      <sz val="9"/>
      <color theme="1"/>
      <name val="Calibri"/>
      <family val="2"/>
      <scheme val="minor"/>
    </font>
    <font>
      <u/>
      <sz val="11"/>
      <color rgb="FF000000"/>
      <name val="Calibri"/>
      <family val="2"/>
      <scheme val="minor"/>
    </font>
    <font>
      <sz val="11"/>
      <color rgb="FF008000"/>
      <name val="Calibri"/>
      <family val="2"/>
      <scheme val="minor"/>
    </font>
    <font>
      <b/>
      <sz val="11"/>
      <color rgb="FF0000FF"/>
      <name val="Calibri"/>
      <family val="2"/>
      <scheme val="minor"/>
    </font>
    <font>
      <b/>
      <sz val="9"/>
      <color indexed="81"/>
      <name val="Tahoma"/>
      <family val="2"/>
    </font>
    <font>
      <u/>
      <sz val="11"/>
      <color theme="10"/>
      <name val="Calibri"/>
      <family val="2"/>
      <scheme val="minor"/>
    </font>
    <font>
      <u/>
      <sz val="11"/>
      <color rgb="FF0000FF"/>
      <name val="Calibri"/>
      <family val="2"/>
      <scheme val="minor"/>
    </font>
    <font>
      <b/>
      <u val="singleAccounting"/>
      <sz val="11"/>
      <color theme="1"/>
      <name val="Calibri"/>
      <family val="2"/>
      <scheme val="minor"/>
    </font>
    <font>
      <u val="singleAccounting"/>
      <sz val="11"/>
      <color theme="1"/>
      <name val="Calibri"/>
      <family val="2"/>
      <scheme val="minor"/>
    </font>
    <font>
      <u val="singleAccounting"/>
      <sz val="11"/>
      <color rgb="FF000000"/>
      <name val="Calibri"/>
      <family val="2"/>
      <scheme val="minor"/>
    </font>
    <font>
      <sz val="11"/>
      <color theme="1"/>
      <name val="Symbol"/>
      <family val="1"/>
      <charset val="2"/>
    </font>
    <font>
      <b/>
      <u/>
      <sz val="11"/>
      <color rgb="FF0070C0"/>
      <name val="Calibri"/>
      <family val="2"/>
      <scheme val="minor"/>
    </font>
    <font>
      <u val="singleAccounting"/>
      <sz val="11"/>
      <color rgb="FF008000"/>
      <name val="Calibri"/>
      <family val="2"/>
      <scheme val="minor"/>
    </font>
    <font>
      <u val="singleAccounting"/>
      <sz val="11"/>
      <color rgb="FF0000FF"/>
      <name val="Calibri"/>
      <family val="2"/>
      <scheme val="minor"/>
    </font>
    <font>
      <b/>
      <u/>
      <sz val="11"/>
      <color rgb="FF0000FF"/>
      <name val="Calibri"/>
      <family val="2"/>
      <scheme val="minor"/>
    </font>
    <font>
      <i/>
      <sz val="9"/>
      <color rgb="FF000000"/>
      <name val="Calibri"/>
      <family val="2"/>
      <scheme val="minor"/>
    </font>
    <font>
      <i/>
      <sz val="10"/>
      <color theme="1"/>
      <name val="Calibri"/>
      <family val="2"/>
      <scheme val="minor"/>
    </font>
  </fonts>
  <fills count="42">
    <fill>
      <patternFill patternType="none"/>
    </fill>
    <fill>
      <patternFill patternType="gray125"/>
    </fill>
    <fill>
      <patternFill patternType="solid">
        <fgColor indexed="2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lightGray">
        <fgColor indexed="12"/>
      </patternFill>
    </fill>
    <fill>
      <patternFill patternType="solid">
        <fgColor indexed="26"/>
        <bgColor indexed="64"/>
      </patternFill>
    </fill>
    <fill>
      <patternFill patternType="solid">
        <fgColor indexed="15"/>
        <bgColor indexed="64"/>
      </patternFill>
    </fill>
    <fill>
      <patternFill patternType="solid">
        <fgColor indexed="43"/>
      </patternFill>
    </fill>
    <fill>
      <patternFill patternType="solid">
        <fgColor indexed="8"/>
        <bgColor indexed="64"/>
      </patternFill>
    </fill>
    <fill>
      <patternFill patternType="solid">
        <fgColor indexed="13"/>
        <bgColor indexed="64"/>
      </patternFill>
    </fill>
    <fill>
      <patternFill patternType="solid">
        <fgColor indexed="26"/>
      </patternFill>
    </fill>
    <fill>
      <patternFill patternType="solid">
        <fgColor indexed="61"/>
        <bgColor indexed="64"/>
      </patternFill>
    </fill>
    <fill>
      <patternFill patternType="solid">
        <fgColor indexed="60"/>
        <bgColor indexed="64"/>
      </patternFill>
    </fill>
    <fill>
      <patternFill patternType="solid">
        <fgColor rgb="FF808080"/>
        <bgColor indexed="64"/>
      </patternFill>
    </fill>
    <fill>
      <patternFill patternType="solid">
        <fgColor indexed="62"/>
        <bgColor indexed="64"/>
      </patternFill>
    </fill>
    <fill>
      <patternFill patternType="solid">
        <fgColor indexed="63"/>
        <bgColor indexed="64"/>
      </patternFill>
    </fill>
    <fill>
      <patternFill patternType="solid">
        <fgColor indexed="56"/>
        <bgColor indexed="64"/>
      </patternFill>
    </fill>
    <fill>
      <patternFill patternType="solid">
        <fgColor rgb="FFFCE5CD"/>
        <bgColor indexed="64"/>
      </patternFill>
    </fill>
    <fill>
      <patternFill patternType="solid">
        <fgColor rgb="FFC9DAF8"/>
        <bgColor indexed="64"/>
      </patternFill>
    </fill>
    <fill>
      <patternFill patternType="solid">
        <fgColor rgb="FFC9DAF8"/>
        <bgColor rgb="FF000000"/>
      </patternFill>
    </fill>
    <fill>
      <patternFill patternType="solid">
        <fgColor rgb="FFC0C0C0"/>
        <bgColor indexed="64"/>
      </patternFill>
    </fill>
    <fill>
      <patternFill patternType="solid">
        <fgColor rgb="FFCCFFFF"/>
        <bgColor indexed="64"/>
      </patternFill>
    </fill>
    <fill>
      <patternFill patternType="solid">
        <fgColor rgb="FFD2F2FF"/>
        <bgColor rgb="FF000000"/>
      </patternFill>
    </fill>
  </fills>
  <borders count="54">
    <border>
      <left/>
      <right/>
      <top/>
      <bottom/>
      <diagonal/>
    </border>
    <border>
      <left/>
      <right/>
      <top/>
      <bottom style="thin">
        <color rgb="FF000000"/>
      </bottom>
      <diagonal/>
    </border>
    <border>
      <left style="thin">
        <color indexed="23"/>
      </left>
      <right style="thin">
        <color indexed="23"/>
      </right>
      <top style="thin">
        <color indexed="23"/>
      </top>
      <bottom style="thin">
        <color indexed="23"/>
      </bottom>
      <diagonal/>
    </border>
    <border>
      <left/>
      <right/>
      <top/>
      <bottom style="double">
        <color auto="1"/>
      </bottom>
      <diagonal/>
    </border>
    <border>
      <left style="double">
        <color indexed="63"/>
      </left>
      <right style="double">
        <color indexed="63"/>
      </right>
      <top style="double">
        <color indexed="63"/>
      </top>
      <bottom style="double">
        <color indexed="63"/>
      </bottom>
      <diagonal/>
    </border>
    <border>
      <left/>
      <right/>
      <top/>
      <bottom style="thin">
        <color auto="1"/>
      </bottom>
      <diagonal/>
    </border>
    <border>
      <left/>
      <right style="thin">
        <color auto="1"/>
      </right>
      <top/>
      <bottom/>
      <diagonal/>
    </border>
    <border>
      <left style="thin">
        <color indexed="9"/>
      </left>
      <right style="thin">
        <color indexed="9"/>
      </right>
      <top/>
      <bottom/>
      <diagonal/>
    </border>
    <border>
      <left style="thin">
        <color auto="1"/>
      </left>
      <right style="thin">
        <color auto="1"/>
      </right>
      <top style="thin">
        <color auto="1"/>
      </top>
      <bottom style="thin">
        <color auto="1"/>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8"/>
      </left>
      <right style="thin">
        <color indexed="8"/>
      </right>
      <top style="thin">
        <color indexed="8"/>
      </top>
      <bottom style="thin">
        <color indexed="8"/>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style="thin">
        <color auto="1"/>
      </right>
      <top style="thin">
        <color auto="1"/>
      </top>
      <bottom/>
      <diagonal/>
    </border>
    <border>
      <left/>
      <right/>
      <top/>
      <bottom style="thick">
        <color auto="1"/>
      </bottom>
      <diagonal/>
    </border>
    <border>
      <left/>
      <right/>
      <top style="thin">
        <color indexed="62"/>
      </top>
      <bottom style="double">
        <color indexed="62"/>
      </bottom>
      <diagonal/>
    </border>
    <border>
      <left/>
      <right/>
      <top style="medium">
        <color rgb="FF000000"/>
      </top>
      <bottom style="medium">
        <color rgb="FF000000"/>
      </bottom>
      <diagonal/>
    </border>
    <border>
      <left style="thin">
        <color indexed="23"/>
      </left>
      <right style="thin">
        <color indexed="23"/>
      </right>
      <top/>
      <bottom/>
      <diagonal/>
    </border>
    <border>
      <left style="thin">
        <color auto="1"/>
      </left>
      <right style="thin">
        <color auto="1"/>
      </right>
      <top/>
      <bottom style="thin">
        <color auto="1"/>
      </bottom>
      <diagonal/>
    </border>
    <border>
      <left/>
      <right style="hair">
        <color rgb="FF000000"/>
      </right>
      <top/>
      <bottom/>
      <diagonal/>
    </border>
    <border>
      <left/>
      <right/>
      <top style="medium">
        <color rgb="FF000000"/>
      </top>
      <bottom/>
      <diagonal/>
    </border>
    <border>
      <left style="hair">
        <color rgb="FF000000"/>
      </left>
      <right style="hair">
        <color rgb="FF000000"/>
      </right>
      <top style="hair">
        <color rgb="FF000000"/>
      </top>
      <bottom style="hair">
        <color rgb="FF000000"/>
      </bottom>
      <diagonal/>
    </border>
    <border>
      <left/>
      <right/>
      <top style="thin">
        <color rgb="FF000000"/>
      </top>
      <bottom style="medium">
        <color rgb="FF000000"/>
      </bottom>
      <diagonal/>
    </border>
    <border>
      <left/>
      <right/>
      <top/>
      <bottom style="hair">
        <color rgb="FF000000"/>
      </bottom>
      <diagonal/>
    </border>
    <border>
      <left style="hair">
        <color rgb="FF000000"/>
      </left>
      <right/>
      <top/>
      <bottom/>
      <diagonal/>
    </border>
    <border>
      <left/>
      <right/>
      <top style="thin">
        <color rgb="FF000000"/>
      </top>
      <bottom/>
      <diagonal/>
    </border>
    <border>
      <left/>
      <right/>
      <top style="hair">
        <color rgb="FF000000"/>
      </top>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style="medium">
        <color rgb="FF000000"/>
      </left>
      <right style="medium">
        <color rgb="FF000000"/>
      </right>
      <top/>
      <bottom/>
      <diagonal/>
    </border>
    <border>
      <left style="medium">
        <color rgb="FF000000"/>
      </left>
      <right style="medium">
        <color rgb="FF000000"/>
      </right>
      <top/>
      <bottom style="thin">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style="medium">
        <color rgb="FF000000"/>
      </top>
      <bottom style="medium">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style="thin">
        <color rgb="FF000000"/>
      </right>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style="hair">
        <color rgb="FF000000"/>
      </left>
      <right style="thin">
        <color rgb="FF000000"/>
      </right>
      <top/>
      <bottom/>
      <diagonal/>
    </border>
    <border>
      <left style="hair">
        <color rgb="FF000000"/>
      </left>
      <right style="hair">
        <color rgb="FF000000"/>
      </right>
      <top/>
      <bottom/>
      <diagonal/>
    </border>
    <border>
      <left style="hair">
        <color rgb="FF000000"/>
      </left>
      <right style="hair">
        <color rgb="FF000000"/>
      </right>
      <top/>
      <bottom style="hair">
        <color rgb="FF000000"/>
      </bottom>
      <diagonal/>
    </border>
    <border>
      <left style="hair">
        <color rgb="FF000000"/>
      </left>
      <right/>
      <top style="thin">
        <color rgb="FF000000"/>
      </top>
      <bottom style="thin">
        <color rgb="FF000000"/>
      </bottom>
      <diagonal/>
    </border>
    <border>
      <left style="hair">
        <color rgb="FF000000"/>
      </left>
      <right/>
      <top/>
      <bottom style="thin">
        <color rgb="FF000000"/>
      </bottom>
      <diagonal/>
    </border>
  </borders>
  <cellStyleXfs count="211">
    <xf numFmtId="0" fontId="0" fillId="0" borderId="0"/>
    <xf numFmtId="0" fontId="3" fillId="0" borderId="0"/>
    <xf numFmtId="171" fontId="3" fillId="0" borderId="0">
      <alignment horizontal="right"/>
    </xf>
    <xf numFmtId="172" fontId="3" fillId="2" borderId="0"/>
    <xf numFmtId="173" fontId="3" fillId="2" borderId="0"/>
    <xf numFmtId="174" fontId="3" fillId="2" borderId="0"/>
    <xf numFmtId="175" fontId="3" fillId="2" borderId="0">
      <alignment horizontal="right"/>
    </xf>
    <xf numFmtId="176" fontId="4" fillId="0" borderId="0" applyFont="0" applyFill="0" applyBorder="0" applyAlignment="0" applyProtection="0"/>
    <xf numFmtId="0" fontId="5" fillId="0" borderId="0" applyNumberFormat="0" applyFont="0" applyFill="0" applyBorder="0" applyAlignment="0" applyProtection="0"/>
    <xf numFmtId="177" fontId="6" fillId="0" borderId="0"/>
    <xf numFmtId="0" fontId="7" fillId="3" borderId="0" applyNumberFormat="0" applyBorder="0" applyAlignment="0" applyProtection="0"/>
    <xf numFmtId="0" fontId="7" fillId="4" borderId="0" applyNumberFormat="0" applyBorder="0" applyAlignment="0" applyProtection="0"/>
    <xf numFmtId="0" fontId="7" fillId="5" borderId="0" applyNumberFormat="0" applyBorder="0" applyAlignment="0" applyProtection="0"/>
    <xf numFmtId="0" fontId="7" fillId="6" borderId="0" applyNumberFormat="0" applyBorder="0" applyAlignment="0" applyProtection="0"/>
    <xf numFmtId="0" fontId="7" fillId="7" borderId="0" applyNumberFormat="0" applyBorder="0" applyAlignment="0" applyProtection="0"/>
    <xf numFmtId="0" fontId="7" fillId="8"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6" borderId="0" applyNumberFormat="0" applyBorder="0" applyAlignment="0" applyProtection="0"/>
    <xf numFmtId="0" fontId="7" fillId="9" borderId="0" applyNumberFormat="0" applyBorder="0" applyAlignment="0" applyProtection="0"/>
    <xf numFmtId="0" fontId="7" fillId="12"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7"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20" borderId="0" applyNumberFormat="0" applyBorder="0" applyAlignment="0" applyProtection="0"/>
    <xf numFmtId="0" fontId="6" fillId="0" borderId="0"/>
    <xf numFmtId="0" fontId="9" fillId="4" borderId="0" applyNumberFormat="0" applyBorder="0" applyAlignment="0" applyProtection="0"/>
    <xf numFmtId="178" fontId="10" fillId="0" borderId="0" applyFont="0" applyFill="0" applyBorder="0" applyAlignment="0" applyProtection="0"/>
    <xf numFmtId="38" fontId="10" fillId="0" borderId="0" applyFill="0" applyBorder="0" applyAlignment="0" applyProtection="0">
      <protection locked="0"/>
    </xf>
    <xf numFmtId="0" fontId="11" fillId="0" borderId="0"/>
    <xf numFmtId="37" fontId="12" fillId="0" borderId="0">
      <alignment horizontal="centerContinuous"/>
    </xf>
    <xf numFmtId="0" fontId="13" fillId="21" borderId="2" applyNumberFormat="0" applyAlignment="0" applyProtection="0"/>
    <xf numFmtId="178" fontId="10" fillId="0" borderId="0" applyFont="0" applyFill="0" applyBorder="0" applyAlignment="0" applyProtection="0">
      <protection locked="0"/>
    </xf>
    <xf numFmtId="178" fontId="10" fillId="0" borderId="3" applyFont="0" applyFill="0" applyAlignment="0" applyProtection="0"/>
    <xf numFmtId="0" fontId="14" fillId="22" borderId="4" applyNumberFormat="0" applyAlignment="0" applyProtection="0"/>
    <xf numFmtId="0" fontId="5" fillId="0" borderId="0">
      <alignment horizontal="center" wrapText="1"/>
      <protection hidden="1"/>
    </xf>
    <xf numFmtId="0" fontId="15" fillId="0" borderId="5" applyNumberFormat="0" applyFill="0" applyBorder="0" applyProtection="0">
      <alignment horizontal="left" vertical="center"/>
    </xf>
    <xf numFmtId="0" fontId="15" fillId="0" borderId="5" applyNumberFormat="0" applyFill="0" applyBorder="0" applyProtection="0">
      <alignment horizontal="right" vertical="center"/>
    </xf>
    <xf numFmtId="168" fontId="5" fillId="0" borderId="0" applyFont="0" applyFill="0" applyBorder="0" applyAlignment="0" applyProtection="0"/>
    <xf numFmtId="37" fontId="16" fillId="0" borderId="0" applyFont="0" applyFill="0" applyBorder="0" applyAlignment="0" applyProtection="0"/>
    <xf numFmtId="39" fontId="16" fillId="0" borderId="0" applyFont="0" applyFill="0" applyBorder="0" applyAlignment="0" applyProtection="0"/>
    <xf numFmtId="0" fontId="17" fillId="23" borderId="0">
      <alignment horizontal="center" vertical="center" wrapText="1"/>
    </xf>
    <xf numFmtId="179" fontId="5" fillId="0" borderId="0" applyFill="0" applyBorder="0">
      <alignment horizontal="right"/>
      <protection locked="0"/>
    </xf>
    <xf numFmtId="0" fontId="18" fillId="0" borderId="0" applyFont="0" applyFill="0" applyBorder="0" applyAlignment="0"/>
    <xf numFmtId="166" fontId="19" fillId="0" borderId="0" applyFont="0" applyFill="0" applyBorder="0" applyAlignment="0" applyProtection="0"/>
    <xf numFmtId="164" fontId="16" fillId="0" borderId="0" applyFont="0" applyFill="0" applyBorder="0" applyAlignment="0" applyProtection="0"/>
    <xf numFmtId="180" fontId="6" fillId="0" borderId="0" applyFill="0" applyBorder="0" applyProtection="0">
      <alignment horizontal="right"/>
    </xf>
    <xf numFmtId="181" fontId="3" fillId="2" borderId="6">
      <alignment horizontal="right"/>
    </xf>
    <xf numFmtId="182" fontId="3" fillId="2" borderId="6">
      <alignment horizontal="right"/>
    </xf>
    <xf numFmtId="181" fontId="3" fillId="2" borderId="6">
      <alignment horizontal="right"/>
    </xf>
    <xf numFmtId="15" fontId="20" fillId="0" borderId="0" applyFill="0" applyBorder="0" applyAlignment="0"/>
    <xf numFmtId="183" fontId="18" fillId="24" borderId="0" applyFont="0" applyFill="0" applyBorder="0" applyAlignment="0" applyProtection="0"/>
    <xf numFmtId="184" fontId="20" fillId="0" borderId="5"/>
    <xf numFmtId="14" fontId="21" fillId="0" borderId="0" applyFont="0" applyFill="0" applyBorder="0" applyAlignment="0" applyProtection="0">
      <alignment horizontal="center"/>
    </xf>
    <xf numFmtId="185" fontId="21" fillId="0" borderId="0" applyFont="0" applyFill="0" applyBorder="0" applyAlignment="0" applyProtection="0">
      <alignment horizontal="center"/>
    </xf>
    <xf numFmtId="186" fontId="6" fillId="0" borderId="0" applyFont="0" applyFill="0" applyBorder="0" applyAlignment="0" applyProtection="0"/>
    <xf numFmtId="167" fontId="10" fillId="0" borderId="0" applyFont="0" applyFill="0" applyBorder="0" applyAlignment="0" applyProtection="0"/>
    <xf numFmtId="165" fontId="10" fillId="0" borderId="0" applyFont="0" applyFill="0" applyBorder="0" applyAlignment="0" applyProtection="0">
      <alignment horizontal="right"/>
    </xf>
    <xf numFmtId="165" fontId="10" fillId="0" borderId="0" applyFont="0" applyFill="0" applyBorder="0" applyAlignment="0" applyProtection="0"/>
    <xf numFmtId="39" fontId="3" fillId="25" borderId="0"/>
    <xf numFmtId="166" fontId="3" fillId="25" borderId="0" applyBorder="0"/>
    <xf numFmtId="187" fontId="3" fillId="25" borderId="0"/>
    <xf numFmtId="188" fontId="3" fillId="0" borderId="0"/>
    <xf numFmtId="189" fontId="3" fillId="25" borderId="0"/>
    <xf numFmtId="190" fontId="11" fillId="0" borderId="0" applyFont="0" applyFill="0" applyBorder="0" applyProtection="0">
      <alignment horizontal="left"/>
      <protection locked="0"/>
    </xf>
    <xf numFmtId="191" fontId="3" fillId="0" borderId="0"/>
    <xf numFmtId="192" fontId="11" fillId="0" borderId="0" applyFont="0" applyFill="0" applyBorder="0" applyProtection="0">
      <alignment horizontal="left"/>
      <protection locked="0"/>
    </xf>
    <xf numFmtId="193" fontId="5" fillId="0" borderId="0" applyFont="0" applyFill="0" applyBorder="0" applyAlignment="0" applyProtection="0"/>
    <xf numFmtId="0" fontId="22" fillId="0" borderId="0" applyNumberFormat="0" applyFill="0" applyBorder="0" applyAlignment="0" applyProtection="0"/>
    <xf numFmtId="176" fontId="3" fillId="0" borderId="7"/>
    <xf numFmtId="194" fontId="3" fillId="2" borderId="6">
      <alignment horizontal="right"/>
    </xf>
    <xf numFmtId="195" fontId="3" fillId="2" borderId="6">
      <alignment horizontal="right"/>
    </xf>
    <xf numFmtId="194" fontId="3" fillId="2" borderId="6">
      <alignment horizontal="right"/>
    </xf>
    <xf numFmtId="196" fontId="10" fillId="0" borderId="0" applyFill="0" applyBorder="0" applyAlignment="0" applyProtection="0">
      <protection locked="0"/>
    </xf>
    <xf numFmtId="0" fontId="23" fillId="5" borderId="0" applyNumberFormat="0" applyBorder="0" applyAlignment="0" applyProtection="0"/>
    <xf numFmtId="197" fontId="24" fillId="0" borderId="0" applyFill="0" applyBorder="0" applyAlignment="0" applyProtection="0"/>
    <xf numFmtId="176" fontId="25" fillId="0" borderId="0" applyAlignment="0">
      <alignment horizontal="left"/>
      <protection locked="0"/>
    </xf>
    <xf numFmtId="196" fontId="6" fillId="26" borderId="8" applyNumberFormat="0" applyFont="0" applyAlignment="0" applyProtection="0"/>
    <xf numFmtId="0" fontId="26" fillId="0" borderId="9" applyNumberFormat="0" applyFill="0" applyAlignment="0" applyProtection="0"/>
    <xf numFmtId="0" fontId="27" fillId="0" borderId="10" applyNumberFormat="0" applyFill="0" applyAlignment="0" applyProtection="0"/>
    <xf numFmtId="0" fontId="28" fillId="0" borderId="11" applyNumberFormat="0" applyFill="0" applyAlignment="0" applyProtection="0"/>
    <xf numFmtId="0" fontId="28" fillId="0" borderId="0" applyNumberFormat="0" applyFill="0" applyBorder="0" applyAlignment="0" applyProtection="0"/>
    <xf numFmtId="196" fontId="29" fillId="0" borderId="0" applyNumberFormat="0" applyFill="0" applyBorder="0" applyAlignment="0" applyProtection="0"/>
    <xf numFmtId="0" fontId="30" fillId="0" borderId="0"/>
    <xf numFmtId="178" fontId="10" fillId="0" borderId="0" applyFont="0" applyFill="0" applyBorder="0" applyAlignment="0" applyProtection="0"/>
    <xf numFmtId="38" fontId="10" fillId="0" borderId="0" applyFill="0" applyBorder="0" applyAlignment="0" applyProtection="0">
      <alignment horizontal="right"/>
      <protection locked="0"/>
    </xf>
    <xf numFmtId="0" fontId="31" fillId="8" borderId="2" applyNumberFormat="0" applyAlignment="0" applyProtection="0"/>
    <xf numFmtId="0" fontId="18" fillId="24" borderId="0" applyFont="0" applyBorder="0" applyAlignment="0">
      <protection locked="0"/>
    </xf>
    <xf numFmtId="0" fontId="5" fillId="0" borderId="0" applyFill="0" applyBorder="0">
      <alignment horizontal="right"/>
      <protection locked="0"/>
    </xf>
    <xf numFmtId="17" fontId="32" fillId="27" borderId="0"/>
    <xf numFmtId="198" fontId="5" fillId="0" borderId="0" applyFill="0" applyBorder="0">
      <alignment horizontal="right"/>
      <protection locked="0"/>
    </xf>
    <xf numFmtId="0" fontId="33" fillId="28" borderId="12">
      <alignment horizontal="left" vertical="center" wrapText="1"/>
    </xf>
    <xf numFmtId="0" fontId="34" fillId="0" borderId="13" applyNumberFormat="0" applyFill="0" applyAlignment="0" applyProtection="0"/>
    <xf numFmtId="199" fontId="10" fillId="0" borderId="0" applyFont="0" applyFill="0" applyBorder="0" applyAlignment="0" applyProtection="0">
      <alignment horizontal="right"/>
    </xf>
    <xf numFmtId="200" fontId="3" fillId="0" borderId="0">
      <alignment horizontal="right"/>
    </xf>
    <xf numFmtId="201" fontId="3" fillId="25" borderId="0">
      <alignment horizontal="right"/>
    </xf>
    <xf numFmtId="202" fontId="3" fillId="0" borderId="0">
      <alignment horizontal="right"/>
    </xf>
    <xf numFmtId="200" fontId="3" fillId="0" borderId="0">
      <alignment horizontal="right"/>
    </xf>
    <xf numFmtId="176" fontId="35" fillId="0" borderId="0" applyFill="0" applyBorder="0" applyAlignment="0" applyProtection="0">
      <alignment horizontal="right"/>
    </xf>
    <xf numFmtId="176" fontId="35" fillId="0" borderId="0" applyFill="0" applyBorder="0" applyAlignment="0" applyProtection="0"/>
    <xf numFmtId="203" fontId="3" fillId="2" borderId="6">
      <alignment horizontal="right"/>
    </xf>
    <xf numFmtId="204" fontId="10" fillId="0" borderId="0" applyFont="0" applyFill="0" applyBorder="0" applyAlignment="0" applyProtection="0"/>
    <xf numFmtId="0" fontId="16" fillId="2" borderId="0" applyFont="0" applyBorder="0" applyAlignment="0" applyProtection="0">
      <alignment horizontal="right"/>
      <protection hidden="1"/>
    </xf>
    <xf numFmtId="0" fontId="36" fillId="26" borderId="0" applyNumberFormat="0" applyBorder="0" applyAlignment="0" applyProtection="0"/>
    <xf numFmtId="37" fontId="19" fillId="0" borderId="0" applyFont="0" applyFill="0" applyBorder="0" applyAlignment="0" applyProtection="0"/>
    <xf numFmtId="205" fontId="5" fillId="0" borderId="0" applyFont="0" applyFill="0" applyBorder="0" applyAlignment="0" applyProtection="0"/>
    <xf numFmtId="39" fontId="5" fillId="0" borderId="0" applyFont="0" applyFill="0" applyBorder="0" applyAlignment="0" applyProtection="0"/>
    <xf numFmtId="206" fontId="5" fillId="0" borderId="0" applyFont="0" applyFill="0" applyBorder="0" applyAlignment="0" applyProtection="0"/>
    <xf numFmtId="0" fontId="5" fillId="0" borderId="0"/>
    <xf numFmtId="0" fontId="20" fillId="0" borderId="0" applyNumberFormat="0" applyFill="0" applyBorder="0" applyAlignment="0" applyProtection="0"/>
    <xf numFmtId="0" fontId="18" fillId="0" borderId="0" applyFont="0" applyFill="0" applyBorder="0" applyAlignment="0" applyProtection="0"/>
    <xf numFmtId="207" fontId="18" fillId="0" borderId="0" applyFont="0" applyFill="0" applyBorder="0" applyAlignment="0" applyProtection="0"/>
    <xf numFmtId="0" fontId="7" fillId="29" borderId="14" applyNumberFormat="0" applyFont="0" applyAlignment="0" applyProtection="0"/>
    <xf numFmtId="0" fontId="16" fillId="0" borderId="0" applyFont="0" applyFill="0" applyBorder="0" applyAlignment="0" applyProtection="0"/>
    <xf numFmtId="208" fontId="5" fillId="0" borderId="0" applyFont="0" applyFill="0" applyBorder="0" applyAlignment="0" applyProtection="0"/>
    <xf numFmtId="0" fontId="16" fillId="0" borderId="0" applyFont="0" applyFill="0" applyBorder="0" applyAlignment="0" applyProtection="0"/>
    <xf numFmtId="0" fontId="37" fillId="21" borderId="15" applyNumberFormat="0" applyAlignment="0" applyProtection="0"/>
    <xf numFmtId="209" fontId="10" fillId="0" borderId="0" applyFont="0" applyFill="0" applyBorder="0" applyAlignment="0" applyProtection="0">
      <alignment horizontal="right"/>
    </xf>
    <xf numFmtId="0" fontId="38" fillId="0" borderId="0" applyNumberFormat="0" applyFill="0" applyBorder="0" applyAlignment="0" applyProtection="0"/>
    <xf numFmtId="0" fontId="18" fillId="0" borderId="0"/>
    <xf numFmtId="210" fontId="3" fillId="25" borderId="0"/>
    <xf numFmtId="9" fontId="10" fillId="0" borderId="0" applyFont="0" applyFill="0" applyBorder="0" applyAlignment="0" applyProtection="0">
      <alignment horizontal="right"/>
    </xf>
    <xf numFmtId="211" fontId="3" fillId="0" borderId="0"/>
    <xf numFmtId="0" fontId="5" fillId="0" borderId="0" applyFont="0" applyFill="0" applyBorder="0" applyAlignment="0"/>
    <xf numFmtId="172" fontId="5" fillId="0" borderId="0" applyFont="0" applyFill="0" applyBorder="0" applyAlignment="0" applyProtection="0"/>
    <xf numFmtId="212" fontId="5" fillId="0" borderId="0" applyFont="0" applyFill="0" applyBorder="0" applyAlignment="0" applyProtection="0"/>
    <xf numFmtId="213" fontId="5" fillId="0" borderId="0" applyFill="0" applyBorder="0">
      <alignment horizontal="right"/>
      <protection locked="0"/>
    </xf>
    <xf numFmtId="197" fontId="10" fillId="0" borderId="0" applyFont="0" applyFill="0" applyBorder="0" applyAlignment="0" applyProtection="0"/>
    <xf numFmtId="167" fontId="10" fillId="0" borderId="0" applyFont="0" applyFill="0" applyBorder="0" applyAlignment="0" applyProtection="0"/>
    <xf numFmtId="178" fontId="10" fillId="0" borderId="0" applyFont="0" applyFill="0" applyBorder="0" applyAlignment="0" applyProtection="0">
      <protection locked="0"/>
    </xf>
    <xf numFmtId="196" fontId="10" fillId="0" borderId="0" applyFill="0" applyBorder="0" applyAlignment="0" applyProtection="0"/>
    <xf numFmtId="38" fontId="10" fillId="0" borderId="0" applyFont="0" applyFill="0" applyBorder="0" applyAlignment="0" applyProtection="0"/>
    <xf numFmtId="174" fontId="3" fillId="2" borderId="16">
      <alignment horizontal="right"/>
    </xf>
    <xf numFmtId="214" fontId="39" fillId="2" borderId="0"/>
    <xf numFmtId="215" fontId="3" fillId="2" borderId="0"/>
    <xf numFmtId="0" fontId="40" fillId="0" borderId="0">
      <alignment horizontal="center"/>
    </xf>
    <xf numFmtId="0" fontId="3" fillId="0" borderId="5">
      <alignment horizontal="centerContinuous"/>
    </xf>
    <xf numFmtId="216" fontId="3" fillId="2" borderId="0">
      <alignment horizontal="right"/>
    </xf>
    <xf numFmtId="217" fontId="3" fillId="2" borderId="6">
      <alignment horizontal="right"/>
    </xf>
    <xf numFmtId="218" fontId="5" fillId="0" borderId="0">
      <alignment horizontal="right"/>
      <protection locked="0"/>
    </xf>
    <xf numFmtId="196" fontId="21" fillId="0" borderId="0" applyFont="0" applyFill="0" applyBorder="0" applyAlignment="0" applyProtection="0"/>
    <xf numFmtId="0" fontId="41" fillId="0" borderId="0" applyNumberFormat="0" applyFill="0" applyBorder="0" applyProtection="0">
      <alignment horizontal="right" vertical="center"/>
    </xf>
    <xf numFmtId="0" fontId="42" fillId="23" borderId="8">
      <alignment horizontal="center" vertical="center" wrapText="1"/>
      <protection hidden="1"/>
    </xf>
    <xf numFmtId="178" fontId="10" fillId="0" borderId="0" applyFill="0" applyBorder="0" applyAlignment="0" applyProtection="0">
      <protection locked="0"/>
    </xf>
    <xf numFmtId="219" fontId="21" fillId="0" borderId="0" applyFont="0" applyFill="0" applyBorder="0" applyAlignment="0" applyProtection="0">
      <alignment horizontal="right"/>
    </xf>
    <xf numFmtId="38" fontId="5" fillId="0" borderId="0" applyFont="0" applyFill="0" applyBorder="0" applyAlignment="0" applyProtection="0"/>
    <xf numFmtId="0" fontId="43" fillId="0" borderId="17" applyNumberFormat="0" applyFill="0" applyProtection="0">
      <alignment horizontal="left" vertical="top" wrapText="1"/>
    </xf>
    <xf numFmtId="0" fontId="30" fillId="0" borderId="0" applyNumberFormat="0" applyFill="0" applyBorder="0" applyProtection="0">
      <alignment horizontal="left" vertical="top" wrapText="1"/>
    </xf>
    <xf numFmtId="0" fontId="44" fillId="0" borderId="0" applyNumberFormat="0" applyFill="0" applyProtection="0">
      <alignment horizontal="left" vertical="top" wrapText="1"/>
    </xf>
    <xf numFmtId="0" fontId="45" fillId="0" borderId="0" applyNumberFormat="0" applyFill="0" applyBorder="0" applyProtection="0"/>
    <xf numFmtId="0" fontId="46" fillId="30" borderId="0" applyNumberFormat="0" applyBorder="0" applyProtection="0"/>
    <xf numFmtId="0" fontId="47" fillId="0" borderId="0" applyNumberFormat="0" applyFill="0" applyBorder="0" applyProtection="0">
      <alignment vertical="top"/>
    </xf>
    <xf numFmtId="220" fontId="48" fillId="0" borderId="0" applyFill="0" applyBorder="0" applyProtection="0">
      <alignment horizontal="right" wrapText="1"/>
    </xf>
    <xf numFmtId="221" fontId="48" fillId="0" borderId="0" applyFill="0" applyBorder="0" applyProtection="0">
      <alignment horizontal="right"/>
    </xf>
    <xf numFmtId="4" fontId="18" fillId="0" borderId="0" applyFill="0" applyBorder="0" applyProtection="0">
      <alignment horizontal="right"/>
    </xf>
    <xf numFmtId="189" fontId="49" fillId="0" borderId="0" applyFill="0" applyBorder="0" applyAlignment="0" applyProtection="0"/>
    <xf numFmtId="222" fontId="50" fillId="0" borderId="0" applyFill="0" applyBorder="0" applyAlignment="0" applyProtection="0">
      <alignment horizontal="left"/>
      <protection locked="0"/>
    </xf>
    <xf numFmtId="222" fontId="50" fillId="0" borderId="0" applyFill="0" applyBorder="0" applyAlignment="0" applyProtection="0"/>
    <xf numFmtId="222" fontId="51" fillId="0" borderId="0" applyFill="0" applyBorder="0" applyAlignment="0" applyProtection="0">
      <alignment horizontal="left"/>
      <protection locked="0"/>
    </xf>
    <xf numFmtId="222" fontId="51" fillId="0" borderId="0" applyFill="0" applyBorder="0" applyAlignment="0" applyProtection="0">
      <protection locked="0"/>
    </xf>
    <xf numFmtId="196" fontId="10" fillId="0" borderId="0" applyFill="0" applyBorder="0" applyAlignment="0" applyProtection="0">
      <protection locked="0"/>
    </xf>
    <xf numFmtId="196" fontId="49" fillId="0" borderId="0" applyFill="0" applyBorder="0" applyAlignment="0" applyProtection="0"/>
    <xf numFmtId="49" fontId="52" fillId="0" borderId="0"/>
    <xf numFmtId="223" fontId="5" fillId="0" borderId="0" applyFont="0" applyFill="0" applyBorder="0" applyAlignment="0" applyProtection="0"/>
    <xf numFmtId="224" fontId="5" fillId="0" borderId="0" applyFont="0" applyFill="0" applyBorder="0" applyAlignment="0" applyProtection="0"/>
    <xf numFmtId="0" fontId="53" fillId="0" borderId="0" applyNumberFormat="0" applyFill="0" applyBorder="0" applyAlignment="0" applyProtection="0"/>
    <xf numFmtId="0" fontId="54" fillId="1" borderId="0" applyNumberFormat="0" applyBorder="0" applyProtection="0">
      <alignment horizontal="left" vertical="center"/>
    </xf>
    <xf numFmtId="196" fontId="55" fillId="0" borderId="0" applyNumberFormat="0" applyFill="0" applyBorder="0" applyAlignment="0" applyProtection="0"/>
    <xf numFmtId="0" fontId="5" fillId="0" borderId="0" applyBorder="0"/>
    <xf numFmtId="38" fontId="56" fillId="0" borderId="0" applyFill="0" applyBorder="0" applyAlignment="0" applyProtection="0">
      <alignment horizontal="left"/>
    </xf>
    <xf numFmtId="0" fontId="57" fillId="0" borderId="0"/>
    <xf numFmtId="0" fontId="58" fillId="0" borderId="18" applyNumberFormat="0" applyFill="0" applyAlignment="0" applyProtection="0"/>
    <xf numFmtId="0" fontId="59" fillId="0" borderId="0" applyNumberFormat="0" applyFill="0" applyBorder="0" applyAlignment="0" applyProtection="0"/>
    <xf numFmtId="1" fontId="10" fillId="0" borderId="0" applyFont="0" applyFill="0" applyBorder="0" applyAlignment="0" applyProtection="0"/>
    <xf numFmtId="225" fontId="19" fillId="0" borderId="0" applyFont="0" applyFill="0" applyBorder="0" applyAlignment="0" applyProtection="0"/>
    <xf numFmtId="232" fontId="20" fillId="0" borderId="0" applyFill="0" applyBorder="0" applyAlignment="0" applyProtection="0">
      <alignment horizontal="right"/>
    </xf>
    <xf numFmtId="0" fontId="67" fillId="0" borderId="0" applyAlignment="0"/>
    <xf numFmtId="0" fontId="68" fillId="0" borderId="0" applyAlignment="0"/>
    <xf numFmtId="0" fontId="46" fillId="31" borderId="0" applyAlignment="0"/>
    <xf numFmtId="233" fontId="18" fillId="0" borderId="20" applyFont="0" applyFill="0" applyBorder="0" applyAlignment="0" applyProtection="0"/>
    <xf numFmtId="234" fontId="20" fillId="0" borderId="0" applyFont="0" applyFill="0" applyBorder="0" applyAlignment="0" applyProtection="0"/>
    <xf numFmtId="235" fontId="18" fillId="0" borderId="0" applyFont="0" applyFill="0" applyBorder="0" applyAlignment="0" applyProtection="0"/>
    <xf numFmtId="183" fontId="69" fillId="24" borderId="21" applyFont="0" applyFill="0" applyBorder="0" applyAlignment="0" applyProtection="0"/>
    <xf numFmtId="0" fontId="70" fillId="0" borderId="0" applyAlignment="0"/>
    <xf numFmtId="14" fontId="20" fillId="0" borderId="5" applyFont="0" applyFill="0" applyBorder="0" applyAlignment="0" applyProtection="0"/>
    <xf numFmtId="0" fontId="71" fillId="32" borderId="22"/>
    <xf numFmtId="0" fontId="72" fillId="33" borderId="0" applyAlignment="0"/>
    <xf numFmtId="0" fontId="73" fillId="34" borderId="0" applyAlignment="0"/>
    <xf numFmtId="0" fontId="74" fillId="0" borderId="0" applyAlignment="0"/>
    <xf numFmtId="236" fontId="18" fillId="0" borderId="0" applyFont="0" applyFill="0" applyBorder="0" applyAlignment="0" applyProtection="0">
      <alignment horizontal="right"/>
    </xf>
    <xf numFmtId="196" fontId="75" fillId="0" borderId="0" applyNumberFormat="0" applyFill="0" applyBorder="0" applyAlignment="0" applyProtection="0">
      <alignment horizontal="left"/>
    </xf>
    <xf numFmtId="0" fontId="76" fillId="35" borderId="0" applyAlignment="0"/>
    <xf numFmtId="0" fontId="77" fillId="0" borderId="0" applyAlignment="0"/>
    <xf numFmtId="0" fontId="78" fillId="0" borderId="0" applyAlignment="0"/>
    <xf numFmtId="0" fontId="79" fillId="0" borderId="0" applyAlignment="0"/>
    <xf numFmtId="0" fontId="80" fillId="0" borderId="0" applyAlignment="0"/>
    <xf numFmtId="0" fontId="47" fillId="0" borderId="0" applyAlignment="0"/>
    <xf numFmtId="237" fontId="18" fillId="0" borderId="0" applyFont="0" applyFill="0" applyBorder="0" applyAlignment="0" applyProtection="0">
      <alignment horizontal="right"/>
    </xf>
    <xf numFmtId="0" fontId="81" fillId="0" borderId="0" applyAlignment="0"/>
    <xf numFmtId="238" fontId="18" fillId="0" borderId="0" applyFont="0" applyFill="0" applyBorder="0" applyAlignment="0"/>
    <xf numFmtId="37" fontId="11" fillId="0" borderId="0"/>
    <xf numFmtId="0" fontId="92" fillId="0" borderId="0" applyNumberFormat="0" applyFill="0" applyBorder="0" applyAlignment="0" applyProtection="0"/>
  </cellStyleXfs>
  <cellXfs count="340">
    <xf numFmtId="0" fontId="0" fillId="0" borderId="0" xfId="0"/>
    <xf numFmtId="0" fontId="2" fillId="0" borderId="0" xfId="0" applyFont="1"/>
    <xf numFmtId="37" fontId="1" fillId="0" borderId="0" xfId="0" applyNumberFormat="1" applyFont="1"/>
    <xf numFmtId="169" fontId="0" fillId="0" borderId="0" xfId="0" applyNumberFormat="1"/>
    <xf numFmtId="0" fontId="63" fillId="0" borderId="1" xfId="0" applyFont="1" applyBorder="1"/>
    <xf numFmtId="0" fontId="0" fillId="0" borderId="1" xfId="0" applyBorder="1"/>
    <xf numFmtId="226" fontId="63" fillId="0" borderId="0" xfId="0" applyNumberFormat="1" applyFont="1"/>
    <xf numFmtId="227" fontId="63" fillId="0" borderId="0" xfId="0" applyNumberFormat="1" applyFont="1"/>
    <xf numFmtId="0" fontId="64" fillId="0" borderId="1" xfId="0" applyFont="1" applyBorder="1"/>
    <xf numFmtId="228" fontId="64" fillId="0" borderId="1" xfId="0" applyNumberFormat="1" applyFont="1" applyBorder="1"/>
    <xf numFmtId="0" fontId="64" fillId="0" borderId="0" xfId="0" applyFont="1"/>
    <xf numFmtId="228" fontId="65" fillId="0" borderId="0" xfId="0" applyNumberFormat="1" applyFont="1"/>
    <xf numFmtId="228" fontId="64" fillId="0" borderId="0" xfId="0" applyNumberFormat="1" applyFont="1"/>
    <xf numFmtId="0" fontId="63" fillId="0" borderId="0" xfId="0" applyFont="1"/>
    <xf numFmtId="37" fontId="60" fillId="0" borderId="0" xfId="0" applyNumberFormat="1" applyFont="1"/>
    <xf numFmtId="37" fontId="0" fillId="0" borderId="0" xfId="0" applyNumberFormat="1"/>
    <xf numFmtId="0" fontId="66" fillId="0" borderId="0" xfId="0" applyFont="1"/>
    <xf numFmtId="0" fontId="0" fillId="0" borderId="0" xfId="0" applyAlignment="1">
      <alignment horizontal="left" indent="1"/>
    </xf>
    <xf numFmtId="169" fontId="2" fillId="0" borderId="0" xfId="0" applyNumberFormat="1" applyFont="1"/>
    <xf numFmtId="169" fontId="1" fillId="0" borderId="0" xfId="0" applyNumberFormat="1" applyFont="1"/>
    <xf numFmtId="226" fontId="60" fillId="0" borderId="0" xfId="0" applyNumberFormat="1" applyFont="1"/>
    <xf numFmtId="227" fontId="60" fillId="0" borderId="0" xfId="0" applyNumberFormat="1" applyFont="1"/>
    <xf numFmtId="228" fontId="62" fillId="0" borderId="1" xfId="0" applyNumberFormat="1" applyFont="1" applyBorder="1"/>
    <xf numFmtId="37" fontId="2" fillId="0" borderId="0" xfId="0" applyNumberFormat="1" applyFont="1"/>
    <xf numFmtId="14" fontId="64" fillId="0" borderId="0" xfId="0" applyNumberFormat="1" applyFont="1"/>
    <xf numFmtId="0" fontId="63" fillId="0" borderId="0" xfId="0" applyFont="1" applyAlignment="1">
      <alignment horizontal="left"/>
    </xf>
    <xf numFmtId="0" fontId="0" fillId="0" borderId="0" xfId="0" applyAlignment="1">
      <alignment horizontal="left"/>
    </xf>
    <xf numFmtId="37" fontId="63" fillId="0" borderId="0" xfId="0" applyNumberFormat="1" applyFont="1"/>
    <xf numFmtId="37" fontId="64" fillId="0" borderId="0" xfId="0" applyNumberFormat="1" applyFont="1"/>
    <xf numFmtId="0" fontId="0" fillId="0" borderId="0" xfId="0" quotePrefix="1" applyAlignment="1">
      <alignment horizontal="left" indent="1"/>
    </xf>
    <xf numFmtId="169" fontId="0" fillId="0" borderId="1" xfId="0" applyNumberFormat="1" applyBorder="1"/>
    <xf numFmtId="3" fontId="0" fillId="0" borderId="0" xfId="0" applyNumberFormat="1"/>
    <xf numFmtId="0" fontId="63" fillId="0" borderId="0" xfId="0" applyFont="1" applyAlignment="1">
      <alignment horizontal="left" indent="1"/>
    </xf>
    <xf numFmtId="10" fontId="1" fillId="0" borderId="0" xfId="0" applyNumberFormat="1" applyFont="1"/>
    <xf numFmtId="230" fontId="1" fillId="0" borderId="0" xfId="0" applyNumberFormat="1" applyFont="1"/>
    <xf numFmtId="4" fontId="0" fillId="0" borderId="0" xfId="0" applyNumberFormat="1"/>
    <xf numFmtId="0" fontId="66" fillId="0" borderId="0" xfId="0" applyFont="1" applyAlignment="1">
      <alignment horizontal="left" indent="1"/>
    </xf>
    <xf numFmtId="0" fontId="0" fillId="0" borderId="23" xfId="0" applyBorder="1"/>
    <xf numFmtId="37" fontId="2" fillId="0" borderId="0" xfId="0" applyNumberFormat="1" applyFont="1" applyAlignment="1">
      <alignment horizontal="left" indent="1"/>
    </xf>
    <xf numFmtId="37" fontId="63" fillId="0" borderId="1" xfId="0" applyNumberFormat="1" applyFont="1" applyBorder="1"/>
    <xf numFmtId="37" fontId="63" fillId="0" borderId="1" xfId="0" applyNumberFormat="1" applyFont="1" applyBorder="1" applyAlignment="1">
      <alignment horizontal="left"/>
    </xf>
    <xf numFmtId="0" fontId="0" fillId="0" borderId="19" xfId="0" applyBorder="1"/>
    <xf numFmtId="0" fontId="0" fillId="0" borderId="0" xfId="0" applyAlignment="1">
      <alignment horizontal="left" indent="2"/>
    </xf>
    <xf numFmtId="231" fontId="0" fillId="0" borderId="0" xfId="0" applyNumberFormat="1"/>
    <xf numFmtId="0" fontId="63" fillId="0" borderId="5" xfId="0" applyFont="1" applyBorder="1"/>
    <xf numFmtId="9" fontId="64" fillId="0" borderId="0" xfId="0" applyNumberFormat="1" applyFont="1"/>
    <xf numFmtId="199" fontId="64" fillId="0" borderId="0" xfId="0" applyNumberFormat="1" applyFont="1"/>
    <xf numFmtId="0" fontId="0" fillId="0" borderId="0" xfId="0" quotePrefix="1"/>
    <xf numFmtId="228" fontId="64" fillId="0" borderId="5" xfId="0" applyNumberFormat="1" applyFont="1" applyBorder="1"/>
    <xf numFmtId="239" fontId="0" fillId="0" borderId="0" xfId="0" applyNumberFormat="1"/>
    <xf numFmtId="0" fontId="83" fillId="0" borderId="0" xfId="0" applyFont="1" applyAlignment="1">
      <alignment horizontal="left"/>
    </xf>
    <xf numFmtId="37" fontId="1" fillId="0" borderId="26" xfId="0" applyNumberFormat="1" applyFont="1" applyBorder="1"/>
    <xf numFmtId="0" fontId="63" fillId="0" borderId="19" xfId="0" applyFont="1" applyBorder="1"/>
    <xf numFmtId="0" fontId="0" fillId="0" borderId="5" xfId="0" applyBorder="1"/>
    <xf numFmtId="240" fontId="0" fillId="0" borderId="0" xfId="0" applyNumberFormat="1"/>
    <xf numFmtId="3" fontId="84" fillId="0" borderId="0" xfId="0" applyNumberFormat="1" applyFont="1"/>
    <xf numFmtId="0" fontId="0" fillId="0" borderId="26" xfId="0" applyBorder="1"/>
    <xf numFmtId="37" fontId="0" fillId="0" borderId="26" xfId="0" applyNumberFormat="1" applyBorder="1"/>
    <xf numFmtId="0" fontId="0" fillId="0" borderId="26" xfId="0" quotePrefix="1" applyBorder="1" applyAlignment="1">
      <alignment horizontal="left" indent="1"/>
    </xf>
    <xf numFmtId="0" fontId="0" fillId="0" borderId="26" xfId="0" applyBorder="1" applyAlignment="1">
      <alignment horizontal="left" indent="1"/>
    </xf>
    <xf numFmtId="0" fontId="63" fillId="0" borderId="28" xfId="0" applyFont="1" applyBorder="1" applyAlignment="1">
      <alignment horizontal="centerContinuous"/>
    </xf>
    <xf numFmtId="0" fontId="1" fillId="0" borderId="0" xfId="0" applyFont="1" applyAlignment="1">
      <alignment horizontal="center"/>
    </xf>
    <xf numFmtId="240" fontId="1" fillId="36" borderId="24" xfId="0" applyNumberFormat="1" applyFont="1" applyFill="1" applyBorder="1" applyAlignment="1">
      <alignment horizontal="center"/>
    </xf>
    <xf numFmtId="14" fontId="1" fillId="0" borderId="0" xfId="0" applyNumberFormat="1" applyFont="1" applyAlignment="1">
      <alignment horizontal="center"/>
    </xf>
    <xf numFmtId="228" fontId="1" fillId="0" borderId="0" xfId="0" applyNumberFormat="1" applyFont="1" applyAlignment="1">
      <alignment horizontal="center"/>
    </xf>
    <xf numFmtId="0" fontId="86" fillId="0" borderId="30" xfId="0" applyFont="1" applyBorder="1" applyAlignment="1">
      <alignment horizontal="left" indent="2"/>
    </xf>
    <xf numFmtId="0" fontId="86" fillId="0" borderId="0" xfId="0" applyFont="1" applyAlignment="1">
      <alignment horizontal="center"/>
    </xf>
    <xf numFmtId="37" fontId="0" fillId="0" borderId="31" xfId="0" applyNumberFormat="1" applyBorder="1"/>
    <xf numFmtId="0" fontId="0" fillId="0" borderId="31" xfId="0" applyBorder="1"/>
    <xf numFmtId="0" fontId="63" fillId="0" borderId="1" xfId="0" applyFont="1" applyBorder="1" applyAlignment="1">
      <alignment horizontal="left"/>
    </xf>
    <xf numFmtId="206" fontId="1" fillId="0" borderId="0" xfId="0" applyNumberFormat="1" applyFont="1" applyAlignment="1">
      <alignment horizontal="center"/>
    </xf>
    <xf numFmtId="37" fontId="2" fillId="0" borderId="26" xfId="0" applyNumberFormat="1" applyFont="1" applyBorder="1"/>
    <xf numFmtId="0" fontId="60" fillId="0" borderId="0" xfId="0" applyFont="1"/>
    <xf numFmtId="37" fontId="2" fillId="0" borderId="28" xfId="0" applyNumberFormat="1" applyFont="1" applyBorder="1"/>
    <xf numFmtId="0" fontId="60" fillId="0" borderId="29" xfId="0" applyFont="1" applyBorder="1" applyAlignment="1">
      <alignment horizontal="left" indent="1"/>
    </xf>
    <xf numFmtId="37" fontId="60" fillId="0" borderId="29" xfId="0" applyNumberFormat="1" applyFont="1" applyBorder="1"/>
    <xf numFmtId="0" fontId="87" fillId="0" borderId="33" xfId="0" applyFont="1" applyBorder="1" applyAlignment="1">
      <alignment horizontal="center"/>
    </xf>
    <xf numFmtId="0" fontId="0" fillId="0" borderId="32" xfId="0" applyBorder="1"/>
    <xf numFmtId="239" fontId="1" fillId="0" borderId="32" xfId="0" applyNumberFormat="1" applyFont="1" applyBorder="1" applyAlignment="1">
      <alignment horizontal="center"/>
    </xf>
    <xf numFmtId="0" fontId="0" fillId="0" borderId="32" xfId="0" applyBorder="1" applyAlignment="1">
      <alignment horizontal="center"/>
    </xf>
    <xf numFmtId="239" fontId="1" fillId="0" borderId="34" xfId="0" applyNumberFormat="1" applyFont="1" applyBorder="1" applyAlignment="1">
      <alignment horizontal="center"/>
    </xf>
    <xf numFmtId="0" fontId="87" fillId="0" borderId="35" xfId="0" applyFont="1" applyBorder="1" applyAlignment="1">
      <alignment horizontal="center"/>
    </xf>
    <xf numFmtId="169" fontId="2" fillId="0" borderId="1" xfId="0" applyNumberFormat="1" applyFont="1" applyBorder="1"/>
    <xf numFmtId="37" fontId="63" fillId="0" borderId="26" xfId="0" applyNumberFormat="1" applyFont="1" applyBorder="1"/>
    <xf numFmtId="37" fontId="85" fillId="0" borderId="31" xfId="0" applyNumberFormat="1" applyFont="1" applyBorder="1" applyAlignment="1">
      <alignment horizontal="right"/>
    </xf>
    <xf numFmtId="37" fontId="85" fillId="0" borderId="0" xfId="0" applyNumberFormat="1" applyFont="1" applyAlignment="1">
      <alignment horizontal="right"/>
    </xf>
    <xf numFmtId="9" fontId="1" fillId="0" borderId="1" xfId="0" applyNumberFormat="1" applyFont="1" applyBorder="1"/>
    <xf numFmtId="37" fontId="0" fillId="0" borderId="28" xfId="0" applyNumberFormat="1" applyBorder="1"/>
    <xf numFmtId="241" fontId="82" fillId="0" borderId="0" xfId="0" applyNumberFormat="1" applyFont="1"/>
    <xf numFmtId="241" fontId="2" fillId="0" borderId="0" xfId="0" applyNumberFormat="1" applyFont="1"/>
    <xf numFmtId="0" fontId="0" fillId="0" borderId="27" xfId="0" applyBorder="1"/>
    <xf numFmtId="239" fontId="2" fillId="0" borderId="0" xfId="0" applyNumberFormat="1" applyFont="1"/>
    <xf numFmtId="0" fontId="63" fillId="0" borderId="26" xfId="0" applyFont="1" applyBorder="1"/>
    <xf numFmtId="169" fontId="89" fillId="0" borderId="0" xfId="0" applyNumberFormat="1" applyFont="1"/>
    <xf numFmtId="0" fontId="0" fillId="0" borderId="0" xfId="0" applyAlignment="1">
      <alignment horizontal="centerContinuous"/>
    </xf>
    <xf numFmtId="0" fontId="0" fillId="0" borderId="0" xfId="0" applyAlignment="1">
      <alignment horizontal="right"/>
    </xf>
    <xf numFmtId="229" fontId="0" fillId="0" borderId="0" xfId="0" applyNumberFormat="1"/>
    <xf numFmtId="0" fontId="66" fillId="0" borderId="0" xfId="0" applyFont="1" applyAlignment="1">
      <alignment horizontal="right"/>
    </xf>
    <xf numFmtId="39" fontId="2" fillId="0" borderId="0" xfId="0" applyNumberFormat="1" applyFont="1"/>
    <xf numFmtId="166" fontId="60" fillId="0" borderId="0" xfId="0" applyNumberFormat="1" applyFont="1"/>
    <xf numFmtId="39" fontId="0" fillId="0" borderId="0" xfId="0" applyNumberFormat="1"/>
    <xf numFmtId="37" fontId="1" fillId="38" borderId="0" xfId="0" applyNumberFormat="1" applyFont="1" applyFill="1"/>
    <xf numFmtId="239" fontId="1" fillId="0" borderId="0" xfId="0" applyNumberFormat="1" applyFont="1"/>
    <xf numFmtId="37" fontId="2" fillId="38" borderId="0" xfId="0" applyNumberFormat="1" applyFont="1" applyFill="1"/>
    <xf numFmtId="229" fontId="1" fillId="0" borderId="0" xfId="0" applyNumberFormat="1" applyFont="1"/>
    <xf numFmtId="229" fontId="89" fillId="0" borderId="0" xfId="0" applyNumberFormat="1" applyFont="1"/>
    <xf numFmtId="241" fontId="0" fillId="0" borderId="0" xfId="0" applyNumberFormat="1"/>
    <xf numFmtId="239" fontId="82" fillId="0" borderId="0" xfId="0" applyNumberFormat="1" applyFont="1"/>
    <xf numFmtId="0" fontId="86" fillId="0" borderId="31" xfId="0" applyFont="1" applyBorder="1" applyAlignment="1">
      <alignment horizontal="left" indent="2"/>
    </xf>
    <xf numFmtId="0" fontId="60" fillId="0" borderId="0" xfId="0" applyFont="1" applyAlignment="1">
      <alignment horizontal="left" indent="1"/>
    </xf>
    <xf numFmtId="167" fontId="0" fillId="0" borderId="0" xfId="0" applyNumberFormat="1"/>
    <xf numFmtId="167" fontId="1" fillId="0" borderId="0" xfId="0" applyNumberFormat="1" applyFont="1"/>
    <xf numFmtId="9" fontId="2" fillId="0" borderId="0" xfId="0" applyNumberFormat="1" applyFont="1"/>
    <xf numFmtId="37" fontId="63" fillId="0" borderId="37" xfId="0" applyNumberFormat="1" applyFont="1" applyBorder="1"/>
    <xf numFmtId="167" fontId="1" fillId="0" borderId="0" xfId="0" applyNumberFormat="1" applyFont="1" applyAlignment="1">
      <alignment horizontal="center"/>
    </xf>
    <xf numFmtId="0" fontId="1" fillId="0" borderId="0" xfId="0" applyFont="1"/>
    <xf numFmtId="9" fontId="0" fillId="0" borderId="0" xfId="0" applyNumberFormat="1"/>
    <xf numFmtId="14" fontId="2" fillId="0" borderId="0" xfId="209" applyNumberFormat="1" applyFont="1" applyAlignment="1">
      <alignment horizontal="right"/>
    </xf>
    <xf numFmtId="14" fontId="1" fillId="0" borderId="0" xfId="209" applyNumberFormat="1" applyFont="1" applyAlignment="1">
      <alignment horizontal="right"/>
    </xf>
    <xf numFmtId="166" fontId="1" fillId="0" borderId="0" xfId="0" applyNumberFormat="1" applyFont="1"/>
    <xf numFmtId="166" fontId="89" fillId="0" borderId="0" xfId="0" applyNumberFormat="1" applyFont="1" applyAlignment="1">
      <alignment horizontal="right"/>
    </xf>
    <xf numFmtId="0" fontId="63" fillId="39" borderId="0" xfId="0" applyFont="1" applyFill="1"/>
    <xf numFmtId="14" fontId="0" fillId="0" borderId="0" xfId="0" applyNumberFormat="1"/>
    <xf numFmtId="229" fontId="63" fillId="0" borderId="0" xfId="0" applyNumberFormat="1" applyFont="1"/>
    <xf numFmtId="229" fontId="60" fillId="0" borderId="0" xfId="0" applyNumberFormat="1" applyFont="1"/>
    <xf numFmtId="229" fontId="2" fillId="0" borderId="0" xfId="0" applyNumberFormat="1" applyFont="1"/>
    <xf numFmtId="0" fontId="63" fillId="0" borderId="39" xfId="0" applyFont="1" applyBorder="1"/>
    <xf numFmtId="0" fontId="63" fillId="0" borderId="40" xfId="0" applyFont="1" applyBorder="1"/>
    <xf numFmtId="0" fontId="0" fillId="0" borderId="40" xfId="0" applyBorder="1"/>
    <xf numFmtId="244" fontId="0" fillId="0" borderId="0" xfId="0" applyNumberFormat="1"/>
    <xf numFmtId="239" fontId="64" fillId="0" borderId="0" xfId="0" applyNumberFormat="1" applyFont="1"/>
    <xf numFmtId="246" fontId="64" fillId="0" borderId="0" xfId="0" applyNumberFormat="1" applyFont="1"/>
    <xf numFmtId="14" fontId="2" fillId="0" borderId="0" xfId="0" applyNumberFormat="1" applyFont="1"/>
    <xf numFmtId="206" fontId="0" fillId="0" borderId="0" xfId="0" applyNumberFormat="1"/>
    <xf numFmtId="0" fontId="0" fillId="0" borderId="0" xfId="0" applyAlignment="1">
      <alignment horizontal="left" vertical="center" indent="1"/>
    </xf>
    <xf numFmtId="0" fontId="63" fillId="0" borderId="0" xfId="0" applyFont="1" applyAlignment="1">
      <alignment vertical="center"/>
    </xf>
    <xf numFmtId="229" fontId="0" fillId="0" borderId="0" xfId="0" applyNumberFormat="1" applyAlignment="1">
      <alignment horizontal="right"/>
    </xf>
    <xf numFmtId="245" fontId="0" fillId="0" borderId="0" xfId="0" applyNumberFormat="1" applyAlignment="1">
      <alignment horizontal="right"/>
    </xf>
    <xf numFmtId="0" fontId="94" fillId="0" borderId="0" xfId="0" applyFont="1" applyAlignment="1">
      <alignment horizontal="centerContinuous"/>
    </xf>
    <xf numFmtId="0" fontId="95" fillId="0" borderId="0" xfId="0" applyFont="1" applyAlignment="1">
      <alignment horizontal="centerContinuous"/>
    </xf>
    <xf numFmtId="250" fontId="0" fillId="0" borderId="1" xfId="0" applyNumberFormat="1" applyBorder="1" applyAlignment="1">
      <alignment horizontal="right"/>
    </xf>
    <xf numFmtId="199" fontId="2" fillId="40" borderId="39" xfId="0" applyNumberFormat="1" applyFont="1" applyFill="1" applyBorder="1"/>
    <xf numFmtId="199" fontId="2" fillId="40" borderId="40" xfId="0" applyNumberFormat="1" applyFont="1" applyFill="1" applyBorder="1"/>
    <xf numFmtId="199" fontId="1" fillId="40" borderId="40" xfId="0" applyNumberFormat="1" applyFont="1" applyFill="1" applyBorder="1"/>
    <xf numFmtId="199" fontId="2" fillId="40" borderId="41" xfId="0" applyNumberFormat="1" applyFont="1" applyFill="1" applyBorder="1"/>
    <xf numFmtId="245" fontId="0" fillId="0" borderId="42" xfId="0" applyNumberFormat="1" applyBorder="1" applyAlignment="1">
      <alignment horizontal="right"/>
    </xf>
    <xf numFmtId="199" fontId="2" fillId="40" borderId="43" xfId="0" applyNumberFormat="1" applyFont="1" applyFill="1" applyBorder="1" applyAlignment="1">
      <alignment horizontal="right"/>
    </xf>
    <xf numFmtId="251" fontId="0" fillId="0" borderId="0" xfId="0" applyNumberFormat="1"/>
    <xf numFmtId="199" fontId="1" fillId="40" borderId="43" xfId="0" applyNumberFormat="1" applyFont="1" applyFill="1" applyBorder="1" applyAlignment="1">
      <alignment horizontal="right"/>
    </xf>
    <xf numFmtId="199" fontId="2" fillId="40" borderId="38" xfId="0" applyNumberFormat="1" applyFont="1" applyFill="1" applyBorder="1" applyAlignment="1">
      <alignment horizontal="right"/>
    </xf>
    <xf numFmtId="252" fontId="0" fillId="0" borderId="0" xfId="0" applyNumberFormat="1"/>
    <xf numFmtId="250" fontId="0" fillId="0" borderId="42" xfId="0" applyNumberFormat="1" applyBorder="1"/>
    <xf numFmtId="245" fontId="2" fillId="40" borderId="40" xfId="0" applyNumberFormat="1" applyFont="1" applyFill="1" applyBorder="1"/>
    <xf numFmtId="245" fontId="1" fillId="40" borderId="40" xfId="0" applyNumberFormat="1" applyFont="1" applyFill="1" applyBorder="1"/>
    <xf numFmtId="245" fontId="2" fillId="40" borderId="41" xfId="0" applyNumberFormat="1" applyFont="1" applyFill="1" applyBorder="1"/>
    <xf numFmtId="0" fontId="0" fillId="0" borderId="39" xfId="0" applyBorder="1"/>
    <xf numFmtId="0" fontId="0" fillId="0" borderId="40" xfId="0" applyBorder="1" applyAlignment="1">
      <alignment horizontal="right"/>
    </xf>
    <xf numFmtId="0" fontId="0" fillId="0" borderId="41" xfId="0" applyBorder="1" applyAlignment="1">
      <alignment horizontal="right"/>
    </xf>
    <xf numFmtId="0" fontId="0" fillId="0" borderId="44" xfId="0" quotePrefix="1" applyBorder="1"/>
    <xf numFmtId="39" fontId="0" fillId="0" borderId="45" xfId="0" applyNumberFormat="1" applyBorder="1"/>
    <xf numFmtId="39" fontId="2" fillId="0" borderId="45" xfId="0" applyNumberFormat="1" applyFont="1" applyBorder="1"/>
    <xf numFmtId="0" fontId="0" fillId="0" borderId="44" xfId="0" applyBorder="1"/>
    <xf numFmtId="0" fontId="0" fillId="0" borderId="46" xfId="0" applyBorder="1"/>
    <xf numFmtId="39" fontId="2" fillId="0" borderId="1" xfId="0" applyNumberFormat="1" applyFont="1" applyBorder="1"/>
    <xf numFmtId="39" fontId="2" fillId="0" borderId="42" xfId="0" applyNumberFormat="1" applyFont="1" applyBorder="1"/>
    <xf numFmtId="199" fontId="2" fillId="0" borderId="0" xfId="0" applyNumberFormat="1" applyFont="1"/>
    <xf numFmtId="199" fontId="96" fillId="0" borderId="0" xfId="0" applyNumberFormat="1" applyFont="1" applyAlignment="1">
      <alignment horizontal="right"/>
    </xf>
    <xf numFmtId="9" fontId="1" fillId="37" borderId="0" xfId="0" applyNumberFormat="1" applyFont="1" applyFill="1"/>
    <xf numFmtId="169" fontId="63" fillId="0" borderId="41" xfId="0" applyNumberFormat="1" applyFont="1" applyBorder="1"/>
    <xf numFmtId="0" fontId="0" fillId="0" borderId="25" xfId="0" applyBorder="1"/>
    <xf numFmtId="0" fontId="0" fillId="0" borderId="25" xfId="0" applyBorder="1" applyAlignment="1">
      <alignment wrapText="1"/>
    </xf>
    <xf numFmtId="39" fontId="1" fillId="0" borderId="0" xfId="0" applyNumberFormat="1" applyFont="1"/>
    <xf numFmtId="39" fontId="63" fillId="0" borderId="0" xfId="0" applyNumberFormat="1" applyFont="1"/>
    <xf numFmtId="169" fontId="0" fillId="37" borderId="0" xfId="0" applyNumberFormat="1" applyFill="1"/>
    <xf numFmtId="253" fontId="2" fillId="0" borderId="47" xfId="0" applyNumberFormat="1" applyFont="1" applyBorder="1"/>
    <xf numFmtId="253" fontId="2" fillId="0" borderId="48" xfId="0" applyNumberFormat="1" applyFont="1" applyBorder="1"/>
    <xf numFmtId="10" fontId="2" fillId="0" borderId="49" xfId="0" applyNumberFormat="1" applyFont="1" applyBorder="1"/>
    <xf numFmtId="239" fontId="0" fillId="0" borderId="28" xfId="0" applyNumberFormat="1" applyBorder="1"/>
    <xf numFmtId="10" fontId="1" fillId="0" borderId="49" xfId="0" applyNumberFormat="1" applyFont="1" applyBorder="1"/>
    <xf numFmtId="244" fontId="63" fillId="0" borderId="0" xfId="0" applyNumberFormat="1" applyFont="1"/>
    <xf numFmtId="243" fontId="63" fillId="0" borderId="50" xfId="0" applyNumberFormat="1" applyFont="1" applyBorder="1"/>
    <xf numFmtId="229" fontId="89" fillId="0" borderId="50" xfId="0" applyNumberFormat="1" applyFont="1" applyBorder="1"/>
    <xf numFmtId="0" fontId="0" fillId="0" borderId="50" xfId="0" applyBorder="1"/>
    <xf numFmtId="239" fontId="2" fillId="0" borderId="50" xfId="0" applyNumberFormat="1" applyFont="1" applyBorder="1"/>
    <xf numFmtId="229" fontId="2" fillId="0" borderId="50" xfId="0" applyNumberFormat="1" applyFont="1" applyBorder="1"/>
    <xf numFmtId="0" fontId="64" fillId="0" borderId="0" xfId="0" applyFont="1" applyAlignment="1">
      <alignment horizontal="left"/>
    </xf>
    <xf numFmtId="245" fontId="64" fillId="0" borderId="0" xfId="0" applyNumberFormat="1" applyFont="1"/>
    <xf numFmtId="245" fontId="1" fillId="0" borderId="0" xfId="0" applyNumberFormat="1" applyFont="1"/>
    <xf numFmtId="37" fontId="0" fillId="0" borderId="0" xfId="0" applyNumberFormat="1" applyAlignment="1">
      <alignment horizontal="right"/>
    </xf>
    <xf numFmtId="37" fontId="64" fillId="0" borderId="26" xfId="0" applyNumberFormat="1" applyFont="1" applyBorder="1" applyAlignment="1">
      <alignment horizontal="right"/>
    </xf>
    <xf numFmtId="228" fontId="0" fillId="0" borderId="50" xfId="0" applyNumberFormat="1" applyBorder="1" applyAlignment="1">
      <alignment horizontal="center"/>
    </xf>
    <xf numFmtId="228" fontId="0" fillId="0" borderId="0" xfId="0" applyNumberFormat="1" applyAlignment="1">
      <alignment horizontal="center"/>
    </xf>
    <xf numFmtId="169" fontId="89" fillId="0" borderId="27" xfId="0" applyNumberFormat="1" applyFont="1" applyBorder="1"/>
    <xf numFmtId="0" fontId="92" fillId="0" borderId="0" xfId="210" applyBorder="1"/>
    <xf numFmtId="169" fontId="0" fillId="0" borderId="0" xfId="0" quotePrefix="1" applyNumberFormat="1"/>
    <xf numFmtId="247" fontId="1" fillId="0" borderId="0" xfId="0" applyNumberFormat="1" applyFont="1"/>
    <xf numFmtId="206" fontId="1" fillId="0" borderId="0" xfId="0" applyNumberFormat="1" applyFont="1"/>
    <xf numFmtId="248" fontId="1" fillId="0" borderId="0" xfId="0" applyNumberFormat="1" applyFont="1"/>
    <xf numFmtId="247" fontId="93" fillId="0" borderId="0" xfId="0" applyNumberFormat="1" applyFont="1"/>
    <xf numFmtId="249" fontId="63" fillId="0" borderId="0" xfId="0" applyNumberFormat="1" applyFont="1"/>
    <xf numFmtId="0" fontId="95" fillId="0" borderId="27" xfId="0" applyFont="1" applyBorder="1" applyAlignment="1">
      <alignment horizontal="centerContinuous"/>
    </xf>
    <xf numFmtId="0" fontId="63" fillId="39" borderId="27" xfId="0" applyFont="1" applyFill="1" applyBorder="1"/>
    <xf numFmtId="0" fontId="0" fillId="0" borderId="27" xfId="0" applyBorder="1" applyAlignment="1">
      <alignment horizontal="centerContinuous"/>
    </xf>
    <xf numFmtId="199" fontId="2" fillId="40" borderId="27" xfId="0" applyNumberFormat="1" applyFont="1" applyFill="1" applyBorder="1"/>
    <xf numFmtId="251" fontId="0" fillId="0" borderId="27" xfId="0" applyNumberFormat="1" applyBorder="1"/>
    <xf numFmtId="252" fontId="0" fillId="0" borderId="27" xfId="0" applyNumberFormat="1" applyBorder="1"/>
    <xf numFmtId="245" fontId="2" fillId="40" borderId="27" xfId="0" applyNumberFormat="1" applyFont="1" applyFill="1" applyBorder="1"/>
    <xf numFmtId="0" fontId="0" fillId="0" borderId="52" xfId="0" applyBorder="1"/>
    <xf numFmtId="0" fontId="0" fillId="0" borderId="53" xfId="0" applyBorder="1"/>
    <xf numFmtId="229" fontId="89" fillId="0" borderId="26" xfId="0" applyNumberFormat="1" applyFont="1" applyBorder="1"/>
    <xf numFmtId="0" fontId="98" fillId="0" borderId="0" xfId="0" applyFont="1" applyAlignment="1">
      <alignment horizontal="center"/>
    </xf>
    <xf numFmtId="239" fontId="0" fillId="0" borderId="0" xfId="0" applyNumberFormat="1" applyAlignment="1">
      <alignment horizontal="center"/>
    </xf>
    <xf numFmtId="229" fontId="2" fillId="0" borderId="26" xfId="0" applyNumberFormat="1" applyFont="1" applyBorder="1"/>
    <xf numFmtId="229" fontId="96" fillId="0" borderId="26" xfId="0" applyNumberFormat="1" applyFont="1" applyBorder="1" applyAlignment="1">
      <alignment horizontal="center"/>
    </xf>
    <xf numFmtId="229" fontId="96" fillId="0" borderId="0" xfId="0" applyNumberFormat="1" applyFont="1"/>
    <xf numFmtId="206" fontId="2" fillId="0" borderId="0" xfId="0" applyNumberFormat="1" applyFont="1"/>
    <xf numFmtId="206" fontId="100" fillId="0" borderId="0" xfId="0" applyNumberFormat="1" applyFont="1"/>
    <xf numFmtId="206" fontId="63" fillId="0" borderId="0" xfId="0" applyNumberFormat="1" applyFont="1"/>
    <xf numFmtId="14" fontId="1" fillId="0" borderId="0" xfId="0" applyNumberFormat="1" applyFont="1" applyAlignment="1">
      <alignment horizontal="right"/>
    </xf>
    <xf numFmtId="0" fontId="2" fillId="0" borderId="0" xfId="0" applyFont="1" applyAlignment="1">
      <alignment horizontal="left" indent="1"/>
    </xf>
    <xf numFmtId="0" fontId="66" fillId="0" borderId="0" xfId="0" applyFont="1" applyAlignment="1">
      <alignment horizontal="left" vertical="center"/>
    </xf>
    <xf numFmtId="206" fontId="63" fillId="0" borderId="26" xfId="0" applyNumberFormat="1" applyFont="1" applyBorder="1"/>
    <xf numFmtId="14" fontId="0" fillId="0" borderId="0" xfId="0" applyNumberFormat="1" applyAlignment="1">
      <alignment horizontal="center"/>
    </xf>
    <xf numFmtId="240" fontId="63" fillId="0" borderId="36" xfId="0" applyNumberFormat="1" applyFont="1" applyBorder="1"/>
    <xf numFmtId="169" fontId="0" fillId="0" borderId="32" xfId="0" applyNumberFormat="1" applyBorder="1" applyAlignment="1">
      <alignment horizontal="center"/>
    </xf>
    <xf numFmtId="0" fontId="95" fillId="0" borderId="0" xfId="0" applyFont="1" applyAlignment="1">
      <alignment horizontal="right"/>
    </xf>
    <xf numFmtId="250" fontId="63" fillId="0" borderId="0" xfId="0" applyNumberFormat="1" applyFont="1" applyAlignment="1">
      <alignment horizontal="right"/>
    </xf>
    <xf numFmtId="254" fontId="0" fillId="0" borderId="0" xfId="0" applyNumberFormat="1" applyAlignment="1">
      <alignment horizontal="right"/>
    </xf>
    <xf numFmtId="255" fontId="0" fillId="0" borderId="0" xfId="0" applyNumberFormat="1" applyAlignment="1">
      <alignment horizontal="right"/>
    </xf>
    <xf numFmtId="170" fontId="89" fillId="0" borderId="0" xfId="0" applyNumberFormat="1" applyFont="1"/>
    <xf numFmtId="39" fontId="89" fillId="0" borderId="0" xfId="0" applyNumberFormat="1" applyFont="1"/>
    <xf numFmtId="37" fontId="89" fillId="0" borderId="0" xfId="0" applyNumberFormat="1" applyFont="1"/>
    <xf numFmtId="0" fontId="0" fillId="0" borderId="0" xfId="0" applyAlignment="1">
      <alignment wrapText="1"/>
    </xf>
    <xf numFmtId="0" fontId="66" fillId="0" borderId="0" xfId="0" applyFont="1" applyAlignment="1">
      <alignment horizontal="left"/>
    </xf>
    <xf numFmtId="166" fontId="89" fillId="0" borderId="26" xfId="0" applyNumberFormat="1" applyFont="1" applyBorder="1" applyAlignment="1">
      <alignment horizontal="right"/>
    </xf>
    <xf numFmtId="0" fontId="95" fillId="0" borderId="0" xfId="0" applyFont="1" applyAlignment="1">
      <alignment horizontal="center"/>
    </xf>
    <xf numFmtId="0" fontId="0" fillId="0" borderId="26" xfId="0" applyBorder="1" applyAlignment="1">
      <alignment horizontal="center"/>
    </xf>
    <xf numFmtId="0" fontId="2" fillId="41" borderId="0" xfId="0" applyFont="1" applyFill="1"/>
    <xf numFmtId="0" fontId="60" fillId="41" borderId="0" xfId="0" applyFont="1" applyFill="1" applyAlignment="1">
      <alignment horizontal="center"/>
    </xf>
    <xf numFmtId="0" fontId="1" fillId="41" borderId="24" xfId="0" applyFont="1" applyFill="1" applyBorder="1" applyAlignment="1">
      <alignment horizontal="right"/>
    </xf>
    <xf numFmtId="0" fontId="2" fillId="0" borderId="26" xfId="0" applyFont="1" applyBorder="1"/>
    <xf numFmtId="0" fontId="60" fillId="0" borderId="26" xfId="0" applyFont="1" applyBorder="1" applyAlignment="1">
      <alignment horizontal="right"/>
    </xf>
    <xf numFmtId="0" fontId="60" fillId="0" borderId="26" xfId="0" applyFont="1" applyBorder="1"/>
    <xf numFmtId="228" fontId="0" fillId="0" borderId="27" xfId="0" applyNumberFormat="1" applyBorder="1" applyAlignment="1">
      <alignment horizontal="center"/>
    </xf>
    <xf numFmtId="229" fontId="60" fillId="0" borderId="51" xfId="0" applyNumberFormat="1" applyFont="1" applyBorder="1"/>
    <xf numFmtId="239" fontId="2" fillId="38" borderId="0" xfId="0" applyNumberFormat="1" applyFont="1" applyFill="1"/>
    <xf numFmtId="0" fontId="96" fillId="0" borderId="31" xfId="0" applyFont="1" applyBorder="1" applyAlignment="1">
      <alignment horizontal="centerContinuous"/>
    </xf>
    <xf numFmtId="166" fontId="1" fillId="38" borderId="0" xfId="0" applyNumberFormat="1" applyFont="1" applyFill="1"/>
    <xf numFmtId="229" fontId="2" fillId="38" borderId="0" xfId="0" applyNumberFormat="1" applyFont="1" applyFill="1"/>
    <xf numFmtId="229" fontId="1" fillId="38" borderId="50" xfId="0" applyNumberFormat="1" applyFont="1" applyFill="1" applyBorder="1"/>
    <xf numFmtId="239" fontId="2" fillId="38" borderId="50" xfId="0" applyNumberFormat="1" applyFont="1" applyFill="1" applyBorder="1"/>
    <xf numFmtId="0" fontId="0" fillId="38" borderId="50" xfId="0" applyFill="1" applyBorder="1"/>
    <xf numFmtId="239" fontId="1" fillId="38" borderId="0" xfId="0" applyNumberFormat="1" applyFont="1" applyFill="1"/>
    <xf numFmtId="229" fontId="2" fillId="38" borderId="50" xfId="0" applyNumberFormat="1" applyFont="1" applyFill="1" applyBorder="1"/>
    <xf numFmtId="229" fontId="60" fillId="38" borderId="0" xfId="0" applyNumberFormat="1" applyFont="1" applyFill="1"/>
    <xf numFmtId="239" fontId="2" fillId="38" borderId="51" xfId="0" applyNumberFormat="1" applyFont="1" applyFill="1" applyBorder="1"/>
    <xf numFmtId="229" fontId="2" fillId="38" borderId="27" xfId="0" applyNumberFormat="1" applyFont="1" applyFill="1" applyBorder="1"/>
    <xf numFmtId="169" fontId="1" fillId="38" borderId="27" xfId="0" applyNumberFormat="1" applyFont="1" applyFill="1" applyBorder="1"/>
    <xf numFmtId="229" fontId="60" fillId="38" borderId="27" xfId="0" applyNumberFormat="1" applyFont="1" applyFill="1" applyBorder="1"/>
    <xf numFmtId="229" fontId="1" fillId="38" borderId="0" xfId="0" applyNumberFormat="1" applyFont="1" applyFill="1"/>
    <xf numFmtId="229" fontId="2" fillId="38" borderId="26" xfId="0" applyNumberFormat="1" applyFont="1" applyFill="1" applyBorder="1"/>
    <xf numFmtId="229" fontId="0" fillId="38" borderId="0" xfId="0" applyNumberFormat="1" applyFill="1"/>
    <xf numFmtId="229" fontId="63" fillId="38" borderId="0" xfId="0" applyNumberFormat="1" applyFont="1" applyFill="1"/>
    <xf numFmtId="245" fontId="1" fillId="38" borderId="0" xfId="0" applyNumberFormat="1" applyFont="1" applyFill="1"/>
    <xf numFmtId="239" fontId="64" fillId="38" borderId="0" xfId="0" applyNumberFormat="1" applyFont="1" applyFill="1"/>
    <xf numFmtId="169" fontId="0" fillId="38" borderId="0" xfId="0" quotePrefix="1" applyNumberFormat="1" applyFill="1"/>
    <xf numFmtId="245" fontId="64" fillId="38" borderId="0" xfId="0" applyNumberFormat="1" applyFont="1" applyFill="1"/>
    <xf numFmtId="14" fontId="1" fillId="38" borderId="0" xfId="0" applyNumberFormat="1" applyFont="1" applyFill="1" applyAlignment="1">
      <alignment horizontal="right"/>
    </xf>
    <xf numFmtId="37" fontId="63" fillId="38" borderId="0" xfId="0" applyNumberFormat="1" applyFont="1" applyFill="1"/>
    <xf numFmtId="247" fontId="1" fillId="38" borderId="0" xfId="0" applyNumberFormat="1" applyFont="1" applyFill="1"/>
    <xf numFmtId="249" fontId="63" fillId="38" borderId="0" xfId="0" applyNumberFormat="1" applyFont="1" applyFill="1"/>
    <xf numFmtId="229" fontId="0" fillId="38" borderId="0" xfId="0" applyNumberFormat="1" applyFill="1" applyAlignment="1">
      <alignment horizontal="right"/>
    </xf>
    <xf numFmtId="37" fontId="64" fillId="38" borderId="26" xfId="0" applyNumberFormat="1" applyFont="1" applyFill="1" applyBorder="1" applyAlignment="1">
      <alignment horizontal="right"/>
    </xf>
    <xf numFmtId="37" fontId="0" fillId="38" borderId="0" xfId="0" applyNumberFormat="1" applyFill="1" applyAlignment="1">
      <alignment horizontal="right"/>
    </xf>
    <xf numFmtId="250" fontId="63" fillId="38" borderId="0" xfId="0" applyNumberFormat="1" applyFont="1" applyFill="1" applyAlignment="1">
      <alignment horizontal="right"/>
    </xf>
    <xf numFmtId="254" fontId="0" fillId="38" borderId="0" xfId="0" applyNumberFormat="1" applyFill="1" applyAlignment="1">
      <alignment horizontal="right"/>
    </xf>
    <xf numFmtId="255" fontId="0" fillId="38" borderId="0" xfId="0" applyNumberFormat="1" applyFill="1" applyAlignment="1">
      <alignment horizontal="right"/>
    </xf>
    <xf numFmtId="14" fontId="1" fillId="38" borderId="0" xfId="0" applyNumberFormat="1" applyFont="1" applyFill="1"/>
    <xf numFmtId="228" fontId="0" fillId="38" borderId="50" xfId="0" applyNumberFormat="1" applyFill="1" applyBorder="1" applyAlignment="1">
      <alignment horizontal="center"/>
    </xf>
    <xf numFmtId="228" fontId="0" fillId="38" borderId="29" xfId="0" applyNumberFormat="1" applyFill="1" applyBorder="1" applyAlignment="1">
      <alignment horizontal="center"/>
    </xf>
    <xf numFmtId="229" fontId="90" fillId="0" borderId="0" xfId="0" applyNumberFormat="1" applyFont="1"/>
    <xf numFmtId="239" fontId="0" fillId="0" borderId="0" xfId="0" applyNumberFormat="1" applyAlignment="1">
      <alignment horizontal="right"/>
    </xf>
    <xf numFmtId="39" fontId="0" fillId="0" borderId="1" xfId="0" applyNumberFormat="1" applyBorder="1" applyAlignment="1">
      <alignment horizontal="right"/>
    </xf>
    <xf numFmtId="39" fontId="0" fillId="0" borderId="1" xfId="0" applyNumberFormat="1" applyBorder="1"/>
    <xf numFmtId="39" fontId="0" fillId="0" borderId="42" xfId="0" applyNumberFormat="1" applyBorder="1"/>
    <xf numFmtId="229" fontId="101" fillId="38" borderId="24" xfId="0" applyNumberFormat="1" applyFont="1" applyFill="1" applyBorder="1" applyAlignment="1">
      <alignment horizontal="center"/>
    </xf>
    <xf numFmtId="242" fontId="1" fillId="0" borderId="0" xfId="0" applyNumberFormat="1" applyFont="1"/>
    <xf numFmtId="166" fontId="2" fillId="0" borderId="0" xfId="0" applyNumberFormat="1" applyFont="1"/>
    <xf numFmtId="166" fontId="0" fillId="0" borderId="0" xfId="0" applyNumberFormat="1"/>
    <xf numFmtId="166" fontId="89" fillId="0" borderId="0" xfId="0" applyNumberFormat="1" applyFont="1"/>
    <xf numFmtId="166" fontId="2" fillId="38" borderId="0" xfId="0" applyNumberFormat="1" applyFont="1" applyFill="1"/>
    <xf numFmtId="39" fontId="1" fillId="38" borderId="0" xfId="0" applyNumberFormat="1" applyFont="1" applyFill="1"/>
    <xf numFmtId="206" fontId="1" fillId="38" borderId="0" xfId="0" applyNumberFormat="1" applyFont="1" applyFill="1"/>
    <xf numFmtId="206" fontId="99" fillId="38" borderId="0" xfId="0" applyNumberFormat="1" applyFont="1" applyFill="1"/>
    <xf numFmtId="206" fontId="2" fillId="38" borderId="0" xfId="0" applyNumberFormat="1" applyFont="1" applyFill="1"/>
    <xf numFmtId="206" fontId="60" fillId="0" borderId="0" xfId="0" applyNumberFormat="1" applyFont="1"/>
    <xf numFmtId="206" fontId="60" fillId="38" borderId="0" xfId="0" applyNumberFormat="1" applyFont="1" applyFill="1"/>
    <xf numFmtId="39" fontId="2" fillId="38" borderId="0" xfId="0" applyNumberFormat="1" applyFont="1" applyFill="1"/>
    <xf numFmtId="37" fontId="62" fillId="0" borderId="0" xfId="0" applyNumberFormat="1" applyFont="1"/>
    <xf numFmtId="37" fontId="62" fillId="38" borderId="0" xfId="0" applyNumberFormat="1" applyFont="1" applyFill="1"/>
    <xf numFmtId="206" fontId="89" fillId="38" borderId="0" xfId="0" applyNumberFormat="1" applyFont="1" applyFill="1" applyAlignment="1">
      <alignment horizontal="right"/>
    </xf>
    <xf numFmtId="256" fontId="0" fillId="38" borderId="0" xfId="0" applyNumberFormat="1" applyFill="1"/>
    <xf numFmtId="10" fontId="1" fillId="38" borderId="0" xfId="0" applyNumberFormat="1" applyFont="1" applyFill="1"/>
    <xf numFmtId="241" fontId="89" fillId="38" borderId="26" xfId="0" applyNumberFormat="1" applyFont="1" applyFill="1" applyBorder="1"/>
    <xf numFmtId="241" fontId="89" fillId="0" borderId="26" xfId="0" applyNumberFormat="1" applyFont="1" applyBorder="1"/>
    <xf numFmtId="206" fontId="96" fillId="0" borderId="0" xfId="0" applyNumberFormat="1" applyFont="1"/>
    <xf numFmtId="256" fontId="2" fillId="0" borderId="0" xfId="0" applyNumberFormat="1" applyFont="1"/>
    <xf numFmtId="241" fontId="2" fillId="38" borderId="0" xfId="0" applyNumberFormat="1" applyFont="1" applyFill="1"/>
    <xf numFmtId="170" fontId="89" fillId="38" borderId="0" xfId="0" applyNumberFormat="1" applyFont="1" applyFill="1"/>
    <xf numFmtId="9" fontId="1" fillId="38" borderId="0" xfId="0" applyNumberFormat="1" applyFont="1" applyFill="1"/>
    <xf numFmtId="169" fontId="0" fillId="38" borderId="0" xfId="0" applyNumberFormat="1" applyFill="1"/>
    <xf numFmtId="9" fontId="2" fillId="38" borderId="0" xfId="0" applyNumberFormat="1" applyFont="1" applyFill="1"/>
    <xf numFmtId="10" fontId="2" fillId="38" borderId="0" xfId="0" applyNumberFormat="1" applyFont="1" applyFill="1"/>
    <xf numFmtId="169" fontId="1" fillId="38" borderId="0" xfId="0" applyNumberFormat="1" applyFont="1" applyFill="1"/>
    <xf numFmtId="10" fontId="1" fillId="38" borderId="26" xfId="0" applyNumberFormat="1" applyFont="1" applyFill="1" applyBorder="1"/>
    <xf numFmtId="169" fontId="89" fillId="38" borderId="0" xfId="0" applyNumberFormat="1" applyFont="1" applyFill="1"/>
    <xf numFmtId="229" fontId="101" fillId="0" borderId="24" xfId="0" applyNumberFormat="1" applyFont="1" applyBorder="1" applyAlignment="1">
      <alignment horizontal="center"/>
    </xf>
    <xf numFmtId="14" fontId="1" fillId="0" borderId="0" xfId="0" applyNumberFormat="1" applyFont="1"/>
    <xf numFmtId="228" fontId="0" fillId="0" borderId="29" xfId="0" applyNumberFormat="1" applyBorder="1" applyAlignment="1">
      <alignment horizontal="center"/>
    </xf>
    <xf numFmtId="229" fontId="1" fillId="0" borderId="50" xfId="0" applyNumberFormat="1" applyFont="1" applyBorder="1"/>
    <xf numFmtId="169" fontId="1" fillId="0" borderId="27" xfId="0" applyNumberFormat="1" applyFont="1" applyBorder="1"/>
    <xf numFmtId="229" fontId="60" fillId="0" borderId="27" xfId="0" applyNumberFormat="1" applyFont="1" applyBorder="1"/>
    <xf numFmtId="229" fontId="2" fillId="0" borderId="27" xfId="0" applyNumberFormat="1" applyFont="1" applyBorder="1"/>
    <xf numFmtId="239" fontId="2" fillId="0" borderId="51" xfId="0" applyNumberFormat="1" applyFont="1" applyBorder="1"/>
    <xf numFmtId="206" fontId="89" fillId="0" borderId="0" xfId="0" applyNumberFormat="1" applyFont="1" applyAlignment="1">
      <alignment horizontal="right"/>
    </xf>
    <xf numFmtId="14" fontId="2" fillId="38" borderId="0" xfId="0" applyNumberFormat="1" applyFont="1" applyFill="1"/>
    <xf numFmtId="0" fontId="88" fillId="0" borderId="0" xfId="0" applyFont="1" applyAlignment="1">
      <alignment horizontal="center"/>
    </xf>
    <xf numFmtId="0" fontId="0" fillId="0" borderId="28" xfId="0" applyBorder="1" applyAlignment="1">
      <alignment horizontal="centerContinuous"/>
    </xf>
    <xf numFmtId="206" fontId="1" fillId="0" borderId="48" xfId="0" applyNumberFormat="1" applyFont="1" applyBorder="1"/>
    <xf numFmtId="10" fontId="2" fillId="0" borderId="27" xfId="0" applyNumberFormat="1" applyFont="1" applyBorder="1"/>
    <xf numFmtId="229" fontId="89" fillId="38" borderId="50" xfId="0" applyNumberFormat="1" applyFont="1" applyFill="1" applyBorder="1"/>
    <xf numFmtId="229" fontId="89" fillId="38" borderId="0" xfId="0" applyNumberFormat="1" applyFont="1" applyFill="1"/>
    <xf numFmtId="169" fontId="89" fillId="38" borderId="27" xfId="0" applyNumberFormat="1" applyFont="1" applyFill="1" applyBorder="1"/>
    <xf numFmtId="229" fontId="60" fillId="38" borderId="51" xfId="0" applyNumberFormat="1" applyFont="1" applyFill="1" applyBorder="1"/>
    <xf numFmtId="169" fontId="2" fillId="0" borderId="22" xfId="0" applyNumberFormat="1" applyFont="1" applyBorder="1"/>
    <xf numFmtId="206" fontId="1" fillId="0" borderId="0" xfId="0" applyNumberFormat="1" applyFont="1" applyAlignment="1">
      <alignment horizontal="right"/>
    </xf>
    <xf numFmtId="0" fontId="63" fillId="0" borderId="23" xfId="0" applyFont="1" applyBorder="1"/>
    <xf numFmtId="0" fontId="102" fillId="0" borderId="23" xfId="0" applyFont="1" applyBorder="1"/>
    <xf numFmtId="0" fontId="103" fillId="0" borderId="0" xfId="0" applyFont="1"/>
    <xf numFmtId="239" fontId="0" fillId="38" borderId="0" xfId="0" applyNumberFormat="1" applyFill="1"/>
  </cellXfs>
  <cellStyles count="211">
    <cellStyle name="$" xfId="1" xr:uid="{00000000-0005-0000-0000-000000000000}"/>
    <cellStyle name="$m" xfId="2" xr:uid="{00000000-0005-0000-0000-000001000000}"/>
    <cellStyle name="$q" xfId="3" xr:uid="{00000000-0005-0000-0000-000002000000}"/>
    <cellStyle name="$q*" xfId="4" xr:uid="{00000000-0005-0000-0000-000003000000}"/>
    <cellStyle name="$qA" xfId="5" xr:uid="{00000000-0005-0000-0000-000004000000}"/>
    <cellStyle name="$qRange" xfId="6" xr:uid="{00000000-0005-0000-0000-000005000000}"/>
    <cellStyle name="%" xfId="7" xr:uid="{00000000-0005-0000-0000-000006000000}"/>
    <cellStyle name="******************************************" xfId="8" xr:uid="{00000000-0005-0000-0000-000007000000}"/>
    <cellStyle name="10Q" xfId="184" xr:uid="{00000000-0005-0000-0000-000008000000}"/>
    <cellStyle name="2 Decimal Places_MA Software Comps - List_AccretionDilution OTGS v16.xls Chart 1" xfId="9" xr:uid="{00000000-0005-0000-0000-000009000000}"/>
    <cellStyle name="20% - Accent1 2" xfId="10" xr:uid="{00000000-0005-0000-0000-00000A000000}"/>
    <cellStyle name="20% - Accent2 2" xfId="11" xr:uid="{00000000-0005-0000-0000-00000B000000}"/>
    <cellStyle name="20% - Accent3 2" xfId="12" xr:uid="{00000000-0005-0000-0000-00000C000000}"/>
    <cellStyle name="20% - Accent4 2" xfId="13" xr:uid="{00000000-0005-0000-0000-00000D000000}"/>
    <cellStyle name="20% - Accent5 2" xfId="14" xr:uid="{00000000-0005-0000-0000-00000E000000}"/>
    <cellStyle name="20% - Accent6 2" xfId="15" xr:uid="{00000000-0005-0000-0000-00000F000000}"/>
    <cellStyle name="40% - Accent1 2" xfId="16" xr:uid="{00000000-0005-0000-0000-000010000000}"/>
    <cellStyle name="40% - Accent2 2" xfId="17" xr:uid="{00000000-0005-0000-0000-000011000000}"/>
    <cellStyle name="40% - Accent3 2" xfId="18" xr:uid="{00000000-0005-0000-0000-000012000000}"/>
    <cellStyle name="40% - Accent4 2" xfId="19" xr:uid="{00000000-0005-0000-0000-000013000000}"/>
    <cellStyle name="40% - Accent5 2" xfId="20" xr:uid="{00000000-0005-0000-0000-000014000000}"/>
    <cellStyle name="40% - Accent6 2" xfId="21" xr:uid="{00000000-0005-0000-0000-000015000000}"/>
    <cellStyle name="60% - Accent1 2" xfId="22" xr:uid="{00000000-0005-0000-0000-000016000000}"/>
    <cellStyle name="60% - Accent2 2" xfId="23" xr:uid="{00000000-0005-0000-0000-000017000000}"/>
    <cellStyle name="60% - Accent3 2" xfId="24" xr:uid="{00000000-0005-0000-0000-000018000000}"/>
    <cellStyle name="60% - Accent4 2" xfId="25" xr:uid="{00000000-0005-0000-0000-000019000000}"/>
    <cellStyle name="60% - Accent5 2" xfId="26" xr:uid="{00000000-0005-0000-0000-00001A000000}"/>
    <cellStyle name="60% - Accent6 2" xfId="27" xr:uid="{00000000-0005-0000-0000-00001B000000}"/>
    <cellStyle name="Accent1 2" xfId="28" xr:uid="{00000000-0005-0000-0000-00001C000000}"/>
    <cellStyle name="Accent2 2" xfId="29" xr:uid="{00000000-0005-0000-0000-00001D000000}"/>
    <cellStyle name="Accent3 2" xfId="30" xr:uid="{00000000-0005-0000-0000-00001E000000}"/>
    <cellStyle name="Accent4 2" xfId="31" xr:uid="{00000000-0005-0000-0000-00001F000000}"/>
    <cellStyle name="Accent5 2" xfId="32" xr:uid="{00000000-0005-0000-0000-000020000000}"/>
    <cellStyle name="Accent6 2" xfId="33" xr:uid="{00000000-0005-0000-0000-000021000000}"/>
    <cellStyle name="AFE" xfId="34" xr:uid="{00000000-0005-0000-0000-000022000000}"/>
    <cellStyle name="Bad 2" xfId="35" xr:uid="{00000000-0005-0000-0000-000023000000}"/>
    <cellStyle name="Balance" xfId="36" xr:uid="{00000000-0005-0000-0000-000024000000}"/>
    <cellStyle name="BalanceSheet" xfId="37" xr:uid="{00000000-0005-0000-0000-000025000000}"/>
    <cellStyle name="Body_$Numeric" xfId="38" xr:uid="{00000000-0005-0000-0000-000026000000}"/>
    <cellStyle name="Bold Header" xfId="39" xr:uid="{00000000-0005-0000-0000-000027000000}"/>
    <cellStyle name="Calculation 2" xfId="40" xr:uid="{00000000-0005-0000-0000-000028000000}"/>
    <cellStyle name="CashFlow" xfId="41" xr:uid="{00000000-0005-0000-0000-000029000000}"/>
    <cellStyle name="ChartingText" xfId="185" xr:uid="{00000000-0005-0000-0000-00002A000000}"/>
    <cellStyle name="Check" xfId="42" xr:uid="{00000000-0005-0000-0000-00002B000000}"/>
    <cellStyle name="Check Cell 2" xfId="43" xr:uid="{00000000-0005-0000-0000-00002C000000}"/>
    <cellStyle name="CHPTop" xfId="186" xr:uid="{00000000-0005-0000-0000-00002D000000}"/>
    <cellStyle name="ColHeading" xfId="44" xr:uid="{00000000-0005-0000-0000-00002E000000}"/>
    <cellStyle name="colheadleft" xfId="45" xr:uid="{00000000-0005-0000-0000-00002F000000}"/>
    <cellStyle name="colheadright" xfId="46" xr:uid="{00000000-0005-0000-0000-000030000000}"/>
    <cellStyle name="ColumnHeaderNormal" xfId="187" xr:uid="{00000000-0005-0000-0000-000031000000}"/>
    <cellStyle name="Comma 2" xfId="47" xr:uid="{00000000-0005-0000-0000-000032000000}"/>
    <cellStyle name="Comma0" xfId="48" xr:uid="{00000000-0005-0000-0000-000033000000}"/>
    <cellStyle name="Comma2" xfId="49" xr:uid="{00000000-0005-0000-0000-000034000000}"/>
    <cellStyle name="Company" xfId="50" xr:uid="{00000000-0005-0000-0000-000035000000}"/>
    <cellStyle name="CurRatio" xfId="51" xr:uid="{00000000-0005-0000-0000-000036000000}"/>
    <cellStyle name="Currency--" xfId="188" xr:uid="{00000000-0005-0000-0000-000037000000}"/>
    <cellStyle name="Currency [1]" xfId="52" xr:uid="{00000000-0005-0000-0000-000038000000}"/>
    <cellStyle name="Currency [2]" xfId="53" xr:uid="{00000000-0005-0000-0000-000039000000}"/>
    <cellStyle name="Currency0" xfId="54" xr:uid="{00000000-0005-0000-0000-00003A000000}"/>
    <cellStyle name="Currency2" xfId="55" xr:uid="{00000000-0005-0000-0000-00003B000000}"/>
    <cellStyle name="d_yield" xfId="56" xr:uid="{00000000-0005-0000-0000-00003C000000}"/>
    <cellStyle name="d_yield_CW's MAKER MODEL" xfId="57" xr:uid="{00000000-0005-0000-0000-00003D000000}"/>
    <cellStyle name="d_yield_valuation" xfId="58" xr:uid="{00000000-0005-0000-0000-00003E000000}"/>
    <cellStyle name="Date [d-mmm-yy]" xfId="59" xr:uid="{00000000-0005-0000-0000-00003F000000}"/>
    <cellStyle name="Date [mm-dd-yy]" xfId="189" xr:uid="{00000000-0005-0000-0000-000040000000}"/>
    <cellStyle name="Date [mm-dd-yyyy]" xfId="190" xr:uid="{00000000-0005-0000-0000-000041000000}"/>
    <cellStyle name="Date [mm-d-yyyy]" xfId="191" xr:uid="{00000000-0005-0000-0000-000042000000}"/>
    <cellStyle name="Date [mmm-d-yyyy]" xfId="60" xr:uid="{00000000-0005-0000-0000-000043000000}"/>
    <cellStyle name="Date [mmm-yyyy]" xfId="61" xr:uid="{00000000-0005-0000-0000-000044000000}"/>
    <cellStyle name="Dates" xfId="62" xr:uid="{00000000-0005-0000-0000-000045000000}"/>
    <cellStyle name="DateYear" xfId="63" xr:uid="{00000000-0005-0000-0000-000046000000}"/>
    <cellStyle name="Dezimal_Capital expenditure planning FY 2000" xfId="64" xr:uid="{00000000-0005-0000-0000-000047000000}"/>
    <cellStyle name="Dollar" xfId="65" xr:uid="{00000000-0005-0000-0000-000048000000}"/>
    <cellStyle name="Dollars" xfId="66" xr:uid="{00000000-0005-0000-0000-000049000000}"/>
    <cellStyle name="DollarWhole" xfId="67" xr:uid="{00000000-0005-0000-0000-00004A000000}"/>
    <cellStyle name="eps" xfId="68" xr:uid="{00000000-0005-0000-0000-00004B000000}"/>
    <cellStyle name="eps$" xfId="69" xr:uid="{00000000-0005-0000-0000-00004C000000}"/>
    <cellStyle name="eps$A" xfId="70" xr:uid="{00000000-0005-0000-0000-00004D000000}"/>
    <cellStyle name="eps$E" xfId="71" xr:uid="{00000000-0005-0000-0000-00004E000000}"/>
    <cellStyle name="epsA" xfId="72" xr:uid="{00000000-0005-0000-0000-00004F000000}"/>
    <cellStyle name="EPSActual" xfId="73" xr:uid="{00000000-0005-0000-0000-000050000000}"/>
    <cellStyle name="epsE" xfId="74" xr:uid="{00000000-0005-0000-0000-000051000000}"/>
    <cellStyle name="EPSEstimate" xfId="75" xr:uid="{00000000-0005-0000-0000-000052000000}"/>
    <cellStyle name="Euro" xfId="76" xr:uid="{00000000-0005-0000-0000-000053000000}"/>
    <cellStyle name="Explanatory Text 2" xfId="77" xr:uid="{00000000-0005-0000-0000-000054000000}"/>
    <cellStyle name="fy_eps$" xfId="78" xr:uid="{00000000-0005-0000-0000-000055000000}"/>
    <cellStyle name="g_rate" xfId="79" xr:uid="{00000000-0005-0000-0000-000056000000}"/>
    <cellStyle name="g_rate_CW's MAKER MODEL" xfId="80" xr:uid="{00000000-0005-0000-0000-000057000000}"/>
    <cellStyle name="g_rate_valuation" xfId="81" xr:uid="{00000000-0005-0000-0000-000058000000}"/>
    <cellStyle name="General" xfId="82" xr:uid="{00000000-0005-0000-0000-000059000000}"/>
    <cellStyle name="Good 2" xfId="83" xr:uid="{00000000-0005-0000-0000-00005A000000}"/>
    <cellStyle name="GrowthRate" xfId="84" xr:uid="{00000000-0005-0000-0000-00005B000000}"/>
    <cellStyle name="GrowthSeq" xfId="85" xr:uid="{00000000-0005-0000-0000-00005C000000}"/>
    <cellStyle name="Hard Number Input" xfId="86" xr:uid="{00000000-0005-0000-0000-00005D000000}"/>
    <cellStyle name="Heading 1 2" xfId="87" xr:uid="{00000000-0005-0000-0000-00005E000000}"/>
    <cellStyle name="Heading 2 2" xfId="88" xr:uid="{00000000-0005-0000-0000-00005F000000}"/>
    <cellStyle name="Heading 3 2" xfId="89" xr:uid="{00000000-0005-0000-0000-000060000000}"/>
    <cellStyle name="Heading 4 2" xfId="90" xr:uid="{00000000-0005-0000-0000-000061000000}"/>
    <cellStyle name="Historical Number" xfId="91" xr:uid="{00000000-0005-0000-0000-000062000000}"/>
    <cellStyle name="Hyperlink" xfId="210" builtinId="8"/>
    <cellStyle name="iemens" xfId="92" xr:uid="{00000000-0005-0000-0000-000064000000}"/>
    <cellStyle name="Income" xfId="93" xr:uid="{00000000-0005-0000-0000-000065000000}"/>
    <cellStyle name="IncomeStatement" xfId="94" xr:uid="{00000000-0005-0000-0000-000066000000}"/>
    <cellStyle name="Input 2" xfId="95" xr:uid="{00000000-0005-0000-0000-000067000000}"/>
    <cellStyle name="Input Fixed [0]" xfId="96" xr:uid="{00000000-0005-0000-0000-000068000000}"/>
    <cellStyle name="Integer" xfId="97" xr:uid="{00000000-0005-0000-0000-000069000000}"/>
    <cellStyle name="Inverse Header" xfId="98" xr:uid="{00000000-0005-0000-0000-00006A000000}"/>
    <cellStyle name="Invisible" xfId="192" xr:uid="{00000000-0005-0000-0000-00006B000000}"/>
    <cellStyle name="Item" xfId="99" xr:uid="{00000000-0005-0000-0000-00006C000000}"/>
    <cellStyle name="ItemTypeClass" xfId="100" xr:uid="{00000000-0005-0000-0000-00006D000000}"/>
    <cellStyle name="Linked Cell 2" xfId="101" xr:uid="{00000000-0005-0000-0000-00006E000000}"/>
    <cellStyle name="LTGR" xfId="102" xr:uid="{00000000-0005-0000-0000-00006F000000}"/>
    <cellStyle name="m" xfId="103" xr:uid="{00000000-0005-0000-0000-000070000000}"/>
    <cellStyle name="m$" xfId="104" xr:uid="{00000000-0005-0000-0000-000071000000}"/>
    <cellStyle name="m/d/yy" xfId="193" xr:uid="{00000000-0005-0000-0000-000072000000}"/>
    <cellStyle name="m_CW's MAKER MODEL" xfId="105" xr:uid="{00000000-0005-0000-0000-000073000000}"/>
    <cellStyle name="m_valuation" xfId="106" xr:uid="{00000000-0005-0000-0000-000074000000}"/>
    <cellStyle name="Margin" xfId="107" xr:uid="{00000000-0005-0000-0000-000075000000}"/>
    <cellStyle name="Margins" xfId="108" xr:uid="{00000000-0005-0000-0000-000076000000}"/>
    <cellStyle name="mm" xfId="109" xr:uid="{00000000-0005-0000-0000-000077000000}"/>
    <cellStyle name="Multiple" xfId="110" xr:uid="{00000000-0005-0000-0000-000078000000}"/>
    <cellStyle name="MyStyle" xfId="194" xr:uid="{00000000-0005-0000-0000-000079000000}"/>
    <cellStyle name="NA is zero" xfId="111" xr:uid="{00000000-0005-0000-0000-00007A000000}"/>
    <cellStyle name="Neutral 2" xfId="112" xr:uid="{00000000-0005-0000-0000-00007B000000}"/>
    <cellStyle name="NewColumnHeaderNormal" xfId="195" xr:uid="{00000000-0005-0000-0000-00007C000000}"/>
    <cellStyle name="NewSectionHeaderNormal" xfId="196" xr:uid="{00000000-0005-0000-0000-00007D000000}"/>
    <cellStyle name="NewTitleNormal" xfId="197" xr:uid="{00000000-0005-0000-0000-00007E000000}"/>
    <cellStyle name="Normal" xfId="0" builtinId="0"/>
    <cellStyle name="Normal--" xfId="198" xr:uid="{00000000-0005-0000-0000-000080000000}"/>
    <cellStyle name="Normal [0]" xfId="113" xr:uid="{00000000-0005-0000-0000-000081000000}"/>
    <cellStyle name="Normal [1]" xfId="114" xr:uid="{00000000-0005-0000-0000-000082000000}"/>
    <cellStyle name="Normal [2]" xfId="115" xr:uid="{00000000-0005-0000-0000-000083000000}"/>
    <cellStyle name="Normal [3]" xfId="116" xr:uid="{00000000-0005-0000-0000-000084000000}"/>
    <cellStyle name="Normal 2" xfId="117" xr:uid="{00000000-0005-0000-0000-000085000000}"/>
    <cellStyle name="Normal Bold" xfId="118" xr:uid="{00000000-0005-0000-0000-000086000000}"/>
    <cellStyle name="Normal Pct" xfId="119" xr:uid="{00000000-0005-0000-0000-000087000000}"/>
    <cellStyle name="Normal_DCF_Model" xfId="209" xr:uid="{3F7DC239-030D-4188-A101-025C121B9558}"/>
    <cellStyle name="NormalX" xfId="120" xr:uid="{00000000-0005-0000-0000-000088000000}"/>
    <cellStyle name="Note 2" xfId="121" xr:uid="{00000000-0005-0000-0000-000089000000}"/>
    <cellStyle name="NPPESalesPct" xfId="122" xr:uid="{00000000-0005-0000-0000-00008A000000}"/>
    <cellStyle name="Number" xfId="123" xr:uid="{00000000-0005-0000-0000-00008B000000}"/>
    <cellStyle name="NWI%S" xfId="124" xr:uid="{00000000-0005-0000-0000-00008C000000}"/>
    <cellStyle name="Output 2" xfId="125" xr:uid="{00000000-0005-0000-0000-00008D000000}"/>
    <cellStyle name="P/E" xfId="126" xr:uid="{00000000-0005-0000-0000-00008E000000}"/>
    <cellStyle name="Palatino" xfId="127" xr:uid="{00000000-0005-0000-0000-00008F000000}"/>
    <cellStyle name="pc1" xfId="128" xr:uid="{00000000-0005-0000-0000-000090000000}"/>
    <cellStyle name="pe" xfId="129" xr:uid="{00000000-0005-0000-0000-000091000000}"/>
    <cellStyle name="PE/LTGR" xfId="130" xr:uid="{00000000-0005-0000-0000-000092000000}"/>
    <cellStyle name="PEG" xfId="131" xr:uid="{00000000-0005-0000-0000-000093000000}"/>
    <cellStyle name="Percent [0]" xfId="132" xr:uid="{00000000-0005-0000-0000-000094000000}"/>
    <cellStyle name="Percent [1]" xfId="133" xr:uid="{00000000-0005-0000-0000-000095000000}"/>
    <cellStyle name="Percent [2]" xfId="134" xr:uid="{00000000-0005-0000-0000-000096000000}"/>
    <cellStyle name="PercentChange" xfId="135" xr:uid="{00000000-0005-0000-0000-000097000000}"/>
    <cellStyle name="PercentPresentation" xfId="136" xr:uid="{00000000-0005-0000-0000-000098000000}"/>
    <cellStyle name="PerShare" xfId="137" xr:uid="{00000000-0005-0000-0000-000099000000}"/>
    <cellStyle name="POPS" xfId="138" xr:uid="{00000000-0005-0000-0000-00009A000000}"/>
    <cellStyle name="Presentation" xfId="139" xr:uid="{00000000-0005-0000-0000-00009B000000}"/>
    <cellStyle name="PresentationZero" xfId="140" xr:uid="{00000000-0005-0000-0000-00009C000000}"/>
    <cellStyle name="price" xfId="141" xr:uid="{00000000-0005-0000-0000-00009D000000}"/>
    <cellStyle name="q" xfId="142" xr:uid="{00000000-0005-0000-0000-00009E000000}"/>
    <cellStyle name="q_CW's MAKER MODEL" xfId="143" xr:uid="{00000000-0005-0000-0000-00009F000000}"/>
    <cellStyle name="QEPS-h" xfId="144" xr:uid="{00000000-0005-0000-0000-0000A0000000}"/>
    <cellStyle name="QEPS-H1" xfId="145" xr:uid="{00000000-0005-0000-0000-0000A1000000}"/>
    <cellStyle name="qRange" xfId="146" xr:uid="{00000000-0005-0000-0000-0000A2000000}"/>
    <cellStyle name="range" xfId="147" xr:uid="{00000000-0005-0000-0000-0000A3000000}"/>
    <cellStyle name="RatioX" xfId="148" xr:uid="{00000000-0005-0000-0000-0000A4000000}"/>
    <cellStyle name="Red font" xfId="199" xr:uid="{00000000-0005-0000-0000-0000A5000000}"/>
    <cellStyle name="Report" xfId="149" xr:uid="{00000000-0005-0000-0000-0000A6000000}"/>
    <cellStyle name="Right" xfId="150" xr:uid="{00000000-0005-0000-0000-0000A7000000}"/>
    <cellStyle name="SectionHeaderNormal" xfId="200" xr:uid="{00000000-0005-0000-0000-0000A8000000}"/>
    <cellStyle name="SectionHeading" xfId="151" xr:uid="{00000000-0005-0000-0000-0000A9000000}"/>
    <cellStyle name="Shares" xfId="152" xr:uid="{00000000-0005-0000-0000-0000AA000000}"/>
    <cellStyle name="StockPrice" xfId="153" xr:uid="{00000000-0005-0000-0000-0000AB000000}"/>
    <cellStyle name="Style 1" xfId="154" xr:uid="{00000000-0005-0000-0000-0000AC000000}"/>
    <cellStyle name="Style 21" xfId="155" xr:uid="{00000000-0005-0000-0000-0000AD000000}"/>
    <cellStyle name="Style 22" xfId="156" xr:uid="{00000000-0005-0000-0000-0000AE000000}"/>
    <cellStyle name="Style 23" xfId="157" xr:uid="{00000000-0005-0000-0000-0000AF000000}"/>
    <cellStyle name="Style 24" xfId="158" xr:uid="{00000000-0005-0000-0000-0000B0000000}"/>
    <cellStyle name="Style 26" xfId="159" xr:uid="{00000000-0005-0000-0000-0000B1000000}"/>
    <cellStyle name="Style 27" xfId="160" xr:uid="{00000000-0005-0000-0000-0000B2000000}"/>
    <cellStyle name="Style 34" xfId="161" xr:uid="{00000000-0005-0000-0000-0000B3000000}"/>
    <cellStyle name="Style 37" xfId="162" xr:uid="{00000000-0005-0000-0000-0000B4000000}"/>
    <cellStyle name="Style 63" xfId="163" xr:uid="{00000000-0005-0000-0000-0000B5000000}"/>
    <cellStyle name="SubDollar" xfId="164" xr:uid="{00000000-0005-0000-0000-0000B6000000}"/>
    <cellStyle name="SubGrowth" xfId="165" xr:uid="{00000000-0005-0000-0000-0000B7000000}"/>
    <cellStyle name="SubGrowthRate" xfId="166" xr:uid="{00000000-0005-0000-0000-0000B8000000}"/>
    <cellStyle name="SubMargins" xfId="167" xr:uid="{00000000-0005-0000-0000-0000B9000000}"/>
    <cellStyle name="SubPenetration" xfId="168" xr:uid="{00000000-0005-0000-0000-0000BA000000}"/>
    <cellStyle name="Subscribers" xfId="169" xr:uid="{00000000-0005-0000-0000-0000BB000000}"/>
    <cellStyle name="SubScript" xfId="201" xr:uid="{00000000-0005-0000-0000-0000BC000000}"/>
    <cellStyle name="SubVariable" xfId="170" xr:uid="{00000000-0005-0000-0000-0000BD000000}"/>
    <cellStyle name="SuperScript" xfId="202" xr:uid="{00000000-0005-0000-0000-0000BE000000}"/>
    <cellStyle name="tcn" xfId="171" xr:uid="{00000000-0005-0000-0000-0000BF000000}"/>
    <cellStyle name="TextBold" xfId="203" xr:uid="{00000000-0005-0000-0000-0000C0000000}"/>
    <cellStyle name="TextItalic" xfId="204" xr:uid="{00000000-0005-0000-0000-0000C1000000}"/>
    <cellStyle name="TextNormal" xfId="205" xr:uid="{00000000-0005-0000-0000-0000C2000000}"/>
    <cellStyle name="Times" xfId="206" xr:uid="{00000000-0005-0000-0000-0000C3000000}"/>
    <cellStyle name="Times [1]" xfId="172" xr:uid="{00000000-0005-0000-0000-0000C4000000}"/>
    <cellStyle name="Times [2]" xfId="173" xr:uid="{00000000-0005-0000-0000-0000C5000000}"/>
    <cellStyle name="Title 2" xfId="174" xr:uid="{00000000-0005-0000-0000-0000C6000000}"/>
    <cellStyle name="title2" xfId="175" xr:uid="{00000000-0005-0000-0000-0000C7000000}"/>
    <cellStyle name="TitleII" xfId="176" xr:uid="{00000000-0005-0000-0000-0000C8000000}"/>
    <cellStyle name="TitleNormal" xfId="207" xr:uid="{00000000-0005-0000-0000-0000C9000000}"/>
    <cellStyle name="Titles" xfId="177" xr:uid="{00000000-0005-0000-0000-0000CA000000}"/>
    <cellStyle name="TitleSub" xfId="178" xr:uid="{00000000-0005-0000-0000-0000CB000000}"/>
    <cellStyle name="tn" xfId="179" xr:uid="{00000000-0005-0000-0000-0000CC000000}"/>
    <cellStyle name="Total 2" xfId="180" xr:uid="{00000000-0005-0000-0000-0000CD000000}"/>
    <cellStyle name="Warning Text 2" xfId="181" xr:uid="{00000000-0005-0000-0000-0000CE000000}"/>
    <cellStyle name="WholeNumber" xfId="182" xr:uid="{00000000-0005-0000-0000-0000CF000000}"/>
    <cellStyle name="Year&quot;E&quot;" xfId="183" xr:uid="{00000000-0005-0000-0000-0000D0000000}"/>
    <cellStyle name="Years" xfId="208" xr:uid="{00000000-0005-0000-0000-0000D1000000}"/>
  </cellStyles>
  <dxfs count="9">
    <dxf>
      <font>
        <color rgb="FF9C0006"/>
      </font>
      <fill>
        <patternFill>
          <bgColor rgb="FFFFC7CE"/>
        </patternFill>
      </fill>
    </dxf>
    <dxf>
      <font>
        <color rgb="FF9C0006"/>
      </font>
      <fill>
        <patternFill>
          <bgColor rgb="FFFFC7CE"/>
        </patternFill>
      </fill>
    </dxf>
    <dxf>
      <fill>
        <patternFill>
          <bgColor theme="8"/>
        </patternFill>
      </fill>
      <border>
        <left/>
        <right/>
        <top style="thin">
          <color rgb="FF9C0006"/>
        </top>
        <bottom style="thin">
          <color rgb="FF9C0006"/>
        </bottom>
        <vertical/>
        <horizontal/>
      </border>
    </dxf>
    <dxf>
      <fill>
        <patternFill>
          <bgColor theme="8"/>
        </patternFill>
      </fill>
      <border>
        <left/>
        <right/>
        <top style="thin">
          <color rgb="FF9C0006"/>
        </top>
        <bottom style="thin">
          <color rgb="FF9C0006"/>
        </bottom>
        <vertical/>
        <horizontal/>
      </border>
    </dxf>
    <dxf>
      <fill>
        <patternFill>
          <bgColor theme="8"/>
        </patternFill>
      </fill>
      <border>
        <left/>
        <right/>
        <top style="thin">
          <color rgb="FF9C0006"/>
        </top>
        <bottom style="thin">
          <color rgb="FF9C0006"/>
        </bottom>
        <vertical/>
        <horizontal/>
      </border>
    </dxf>
    <dxf>
      <font>
        <color rgb="FF9C0006"/>
      </font>
      <fill>
        <patternFill>
          <bgColor rgb="FFFFC7CE"/>
        </patternFill>
      </fill>
    </dxf>
    <dxf>
      <font>
        <b/>
        <i val="0"/>
      </font>
      <fill>
        <patternFill patternType="solid">
          <bgColor theme="2"/>
        </patternFill>
      </fill>
      <border>
        <left/>
        <right/>
        <top/>
        <bottom/>
      </border>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0000FF"/>
      <color rgb="FFFFFF99"/>
      <color rgb="FF008000"/>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lang="en-US" sz="1100"/>
              <a:t>DCF Equity Valuation Range </a:t>
            </a:r>
          </a:p>
        </c:rich>
      </c:tx>
      <c:layout>
        <c:manualLayout>
          <c:xMode val="edge"/>
          <c:yMode val="edge"/>
          <c:x val="0.31291626892699836"/>
          <c:y val="0"/>
        </c:manualLayout>
      </c:layout>
      <c:overlay val="0"/>
    </c:title>
    <c:autoTitleDeleted val="0"/>
    <c:plotArea>
      <c:layout/>
      <c:barChart>
        <c:barDir val="col"/>
        <c:grouping val="stacked"/>
        <c:varyColors val="0"/>
        <c:ser>
          <c:idx val="0"/>
          <c:order val="0"/>
          <c:spPr>
            <a:noFill/>
          </c:spPr>
          <c:invertIfNegative val="0"/>
          <c:dLbls>
            <c:spPr>
              <a:noFill/>
              <a:ln>
                <a:noFill/>
              </a:ln>
              <a:effectLst/>
            </c:sp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'Simple DCF Empty'!$B$122:$B$124</c:f>
              <c:strCache>
                <c:ptCount val="3"/>
                <c:pt idx="0">
                  <c:v>DCF Value at 11.5x-13.5x Exit EBITDA Range at 9.0% WACC</c:v>
                </c:pt>
                <c:pt idx="1">
                  <c:v>DCF Value at 2.0%-4.0% Perpetuity Range at 9.0% WACC</c:v>
                </c:pt>
                <c:pt idx="2">
                  <c:v>52 Week Market High/Low</c:v>
                </c:pt>
              </c:strCache>
            </c:strRef>
          </c:cat>
          <c:val>
            <c:numRef>
              <c:f>'Simple DCF Empty'!$C$122:$C$124</c:f>
              <c:numCache>
                <c:formatCode>#,##0.00_);\(#,##0.00\)</c:formatCode>
                <c:ptCount val="3"/>
                <c:pt idx="0">
                  <c:v>255.11212614708694</c:v>
                </c:pt>
                <c:pt idx="1">
                  <c:v>243.66113413110557</c:v>
                </c:pt>
                <c:pt idx="2">
                  <c:v>169.5</c:v>
                </c:pt>
              </c:numCache>
            </c:numRef>
          </c:val>
          <c:extLst>
            <c:ext xmlns:c16="http://schemas.microsoft.com/office/drawing/2014/chart" uri="{C3380CC4-5D6E-409C-BE32-E72D297353CC}">
              <c16:uniqueId val="{00000000-BF21-4F90-8C3B-AB0A1B6E84E4}"/>
            </c:ext>
          </c:extLst>
        </c:ser>
        <c:ser>
          <c:idx val="1"/>
          <c:order val="1"/>
          <c:invertIfNegative val="0"/>
          <c:cat>
            <c:strRef>
              <c:f>'Simple DCF Empty'!$B$122:$B$124</c:f>
              <c:strCache>
                <c:ptCount val="3"/>
                <c:pt idx="0">
                  <c:v>DCF Value at 11.5x-13.5x Exit EBITDA Range at 9.0% WACC</c:v>
                </c:pt>
                <c:pt idx="1">
                  <c:v>DCF Value at 2.0%-4.0% Perpetuity Range at 9.0% WACC</c:v>
                </c:pt>
                <c:pt idx="2">
                  <c:v>52 Week Market High/Low</c:v>
                </c:pt>
              </c:strCache>
            </c:strRef>
          </c:cat>
          <c:val>
            <c:numRef>
              <c:f>'Simple DCF Empty'!$D$122:$D$124</c:f>
              <c:numCache>
                <c:formatCode>#,##0.00_);\(#,##0.00\)</c:formatCode>
                <c:ptCount val="3"/>
                <c:pt idx="0">
                  <c:v>30.754754148733241</c:v>
                </c:pt>
                <c:pt idx="1">
                  <c:v>70.695623658731876</c:v>
                </c:pt>
                <c:pt idx="2">
                  <c:v>158.35000000000002</c:v>
                </c:pt>
              </c:numCache>
            </c:numRef>
          </c:val>
          <c:extLst>
            <c:ext xmlns:c16="http://schemas.microsoft.com/office/drawing/2014/chart" uri="{C3380CC4-5D6E-409C-BE32-E72D297353CC}">
              <c16:uniqueId val="{00000001-BF21-4F90-8C3B-AB0A1B6E84E4}"/>
            </c:ext>
          </c:extLst>
        </c:ser>
        <c:ser>
          <c:idx val="2"/>
          <c:order val="2"/>
          <c:spPr>
            <a:noFill/>
          </c:spPr>
          <c:invertIfNegative val="0"/>
          <c:dLbls>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'Simple DCF Empty'!$B$122:$B$124</c:f>
              <c:strCache>
                <c:ptCount val="3"/>
                <c:pt idx="0">
                  <c:v>DCF Value at 11.5x-13.5x Exit EBITDA Range at 9.0% WACC</c:v>
                </c:pt>
                <c:pt idx="1">
                  <c:v>DCF Value at 2.0%-4.0% Perpetuity Range at 9.0% WACC</c:v>
                </c:pt>
                <c:pt idx="2">
                  <c:v>52 Week Market High/Low</c:v>
                </c:pt>
              </c:strCache>
            </c:strRef>
          </c:cat>
          <c:val>
            <c:numRef>
              <c:f>'Simple DCF Empty'!$E$122:$E$124</c:f>
              <c:numCache>
                <c:formatCode>#,##0.00_);\(#,##0.00\)</c:formatCode>
                <c:ptCount val="3"/>
                <c:pt idx="0">
                  <c:v>285.86688029582018</c:v>
                </c:pt>
                <c:pt idx="1">
                  <c:v>314.35675778983745</c:v>
                </c:pt>
                <c:pt idx="2">
                  <c:v>327.85</c:v>
                </c:pt>
              </c:numCache>
            </c:numRef>
          </c:val>
          <c:extLst>
            <c:ext xmlns:c16="http://schemas.microsoft.com/office/drawing/2014/chart" uri="{C3380CC4-5D6E-409C-BE32-E72D297353CC}">
              <c16:uniqueId val="{00000002-BF21-4F90-8C3B-AB0A1B6E84E4}"/>
            </c:ext>
          </c:extLst>
        </c:ser>
        <c:dLbls>
          <c:showLegendKey val="0"/>
          <c:showVal val="0"/>
          <c:showCatName val="0"/>
          <c:showSerName val="0"/>
          <c:showPercent val="0"/>
          <c:showBubbleSize val="0"/>
        </c:dLbls>
        <c:gapWidth val="150"/>
        <c:overlap val="100"/>
        <c:axId val="99639680"/>
        <c:axId val="99641216"/>
      </c:barChart>
      <c:catAx>
        <c:axId val="99639680"/>
        <c:scaling>
          <c:orientation val="minMax"/>
        </c:scaling>
        <c:delete val="0"/>
        <c:axPos val="b"/>
        <c:numFmt formatCode="General" sourceLinked="0"/>
        <c:majorTickMark val="out"/>
        <c:minorTickMark val="none"/>
        <c:tickLblPos val="nextTo"/>
        <c:crossAx val="99641216"/>
        <c:crosses val="autoZero"/>
        <c:auto val="1"/>
        <c:lblAlgn val="ctr"/>
        <c:lblOffset val="100"/>
        <c:noMultiLvlLbl val="0"/>
      </c:catAx>
      <c:valAx>
        <c:axId val="99641216"/>
        <c:scaling>
          <c:orientation val="minMax"/>
          <c:max val="400"/>
          <c:min val="100"/>
        </c:scaling>
        <c:delete val="0"/>
        <c:axPos val="l"/>
        <c:numFmt formatCode="#,##0.00_);\(#,##0.00\)" sourceLinked="1"/>
        <c:majorTickMark val="out"/>
        <c:minorTickMark val="none"/>
        <c:tickLblPos val="nextTo"/>
        <c:crossAx val="99639680"/>
        <c:crosses val="autoZero"/>
        <c:crossBetween val="between"/>
      </c:valAx>
    </c:plotArea>
    <c:plotVisOnly val="1"/>
    <c:dispBlanksAs val="gap"/>
    <c:showDLblsOverMax val="0"/>
  </c:chart>
  <c:spPr>
    <a:ln>
      <a:noFill/>
    </a:ln>
  </c:sp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lang="en-US" sz="1100"/>
              <a:t>LTM EBITDA Multiple Range</a:t>
            </a:r>
          </a:p>
        </c:rich>
      </c:tx>
      <c:layout>
        <c:manualLayout>
          <c:xMode val="edge"/>
          <c:yMode val="edge"/>
          <c:x val="0.31291626892699836"/>
          <c:y val="0"/>
        </c:manualLayout>
      </c:layout>
      <c:overlay val="0"/>
    </c:title>
    <c:autoTitleDeleted val="0"/>
    <c:plotArea>
      <c:layout/>
      <c:barChart>
        <c:barDir val="col"/>
        <c:grouping val="stacked"/>
        <c:varyColors val="0"/>
        <c:ser>
          <c:idx val="0"/>
          <c:order val="0"/>
          <c:spPr>
            <a:noFill/>
          </c:spPr>
          <c:invertIfNegative val="0"/>
          <c:dLbls>
            <c:numFmt formatCode="#,##0.0\x;\-#,##0.0\x" sourceLinked="0"/>
            <c:spPr>
              <a:noFill/>
              <a:ln>
                <a:noFill/>
              </a:ln>
              <a:effectLst/>
            </c:sp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'Integrated DCF'!$G$128:$G$130</c:f>
              <c:strCache>
                <c:ptCount val="3"/>
                <c:pt idx="0">
                  <c:v>LTM EBITDA Purchase Multiple at 2.0%-4.0% Perpetuity Growth at 9.0% WACC</c:v>
                </c:pt>
                <c:pt idx="1">
                  <c:v>LTM EBITDA Purchase Multiple at 13.1x-16.7x Exit EBITDA Multiple at 9.0% WACC</c:v>
                </c:pt>
                <c:pt idx="2">
                  <c:v>LTM EBITDA Purchase Multiple at 7.0%-11.0% WACC at 13.0x Exit EBITDA</c:v>
                </c:pt>
              </c:strCache>
            </c:strRef>
          </c:cat>
          <c:val>
            <c:numRef>
              <c:f>'Integrated DCF'!$O$128:$O$130</c:f>
              <c:numCache>
                <c:formatCode>#,##0.00_);\(#,##0.00\)</c:formatCode>
                <c:ptCount val="3"/>
                <c:pt idx="0">
                  <c:v>12.832501802687379</c:v>
                </c:pt>
                <c:pt idx="1">
                  <c:v>13.109295073001569</c:v>
                </c:pt>
                <c:pt idx="2">
                  <c:v>13.826590996388775</c:v>
                </c:pt>
              </c:numCache>
            </c:numRef>
          </c:val>
          <c:extLst>
            <c:ext xmlns:c16="http://schemas.microsoft.com/office/drawing/2014/chart" uri="{C3380CC4-5D6E-409C-BE32-E72D297353CC}">
              <c16:uniqueId val="{00000000-7DC0-4F63-9A91-6EBB1BE131F2}"/>
            </c:ext>
          </c:extLst>
        </c:ser>
        <c:ser>
          <c:idx val="1"/>
          <c:order val="1"/>
          <c:spPr>
            <a:solidFill>
              <a:schemeClr val="tx2"/>
            </a:solidFill>
          </c:spPr>
          <c:invertIfNegative val="0"/>
          <c:cat>
            <c:strRef>
              <c:f>'Integrated DCF'!$G$128:$G$130</c:f>
              <c:strCache>
                <c:ptCount val="3"/>
                <c:pt idx="0">
                  <c:v>LTM EBITDA Purchase Multiple at 2.0%-4.0% Perpetuity Growth at 9.0% WACC</c:v>
                </c:pt>
                <c:pt idx="1">
                  <c:v>LTM EBITDA Purchase Multiple at 13.1x-16.7x Exit EBITDA Multiple at 9.0% WACC</c:v>
                </c:pt>
                <c:pt idx="2">
                  <c:v>LTM EBITDA Purchase Multiple at 7.0%-11.0% WACC at 13.0x Exit EBITDA</c:v>
                </c:pt>
              </c:strCache>
            </c:strRef>
          </c:cat>
          <c:val>
            <c:numRef>
              <c:f>'Integrated DCF'!$P$128:$P$130</c:f>
              <c:numCache>
                <c:formatCode>#,##0.00_);\(#,##0.00\)</c:formatCode>
                <c:ptCount val="3"/>
                <c:pt idx="0">
                  <c:v>4.144000549505126</c:v>
                </c:pt>
                <c:pt idx="1">
                  <c:v>3.6259903472495552</c:v>
                </c:pt>
                <c:pt idx="2">
                  <c:v>2.3061658520416284</c:v>
                </c:pt>
              </c:numCache>
            </c:numRef>
          </c:val>
          <c:extLst>
            <c:ext xmlns:c16="http://schemas.microsoft.com/office/drawing/2014/chart" uri="{C3380CC4-5D6E-409C-BE32-E72D297353CC}">
              <c16:uniqueId val="{00000001-7DC0-4F63-9A91-6EBB1BE131F2}"/>
            </c:ext>
          </c:extLst>
        </c:ser>
        <c:ser>
          <c:idx val="2"/>
          <c:order val="2"/>
          <c:spPr>
            <a:noFill/>
          </c:spPr>
          <c:invertIfNegative val="0"/>
          <c:dLbls>
            <c:numFmt formatCode="#,##0.0\x;\-#,##0.0\x" sourceLinked="0"/>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'Integrated DCF'!$G$128:$G$130</c:f>
              <c:strCache>
                <c:ptCount val="3"/>
                <c:pt idx="0">
                  <c:v>LTM EBITDA Purchase Multiple at 2.0%-4.0% Perpetuity Growth at 9.0% WACC</c:v>
                </c:pt>
                <c:pt idx="1">
                  <c:v>LTM EBITDA Purchase Multiple at 13.1x-16.7x Exit EBITDA Multiple at 9.0% WACC</c:v>
                </c:pt>
                <c:pt idx="2">
                  <c:v>LTM EBITDA Purchase Multiple at 7.0%-11.0% WACC at 13.0x Exit EBITDA</c:v>
                </c:pt>
              </c:strCache>
            </c:strRef>
          </c:cat>
          <c:val>
            <c:numRef>
              <c:f>'Integrated DCF'!$Q$128:$Q$130</c:f>
              <c:numCache>
                <c:formatCode>#,##0.00_);\(#,##0.00\)</c:formatCode>
                <c:ptCount val="3"/>
                <c:pt idx="0">
                  <c:v>16.976502352192504</c:v>
                </c:pt>
                <c:pt idx="1">
                  <c:v>16.735285420251124</c:v>
                </c:pt>
                <c:pt idx="2">
                  <c:v>16.132756848430404</c:v>
                </c:pt>
              </c:numCache>
            </c:numRef>
          </c:val>
          <c:extLst>
            <c:ext xmlns:c16="http://schemas.microsoft.com/office/drawing/2014/chart" uri="{C3380CC4-5D6E-409C-BE32-E72D297353CC}">
              <c16:uniqueId val="{00000002-7DC0-4F63-9A91-6EBB1BE131F2}"/>
            </c:ext>
          </c:extLst>
        </c:ser>
        <c:dLbls>
          <c:showLegendKey val="0"/>
          <c:showVal val="0"/>
          <c:showCatName val="0"/>
          <c:showSerName val="0"/>
          <c:showPercent val="0"/>
          <c:showBubbleSize val="0"/>
        </c:dLbls>
        <c:gapWidth val="150"/>
        <c:overlap val="100"/>
        <c:axId val="99639680"/>
        <c:axId val="99641216"/>
      </c:barChart>
      <c:catAx>
        <c:axId val="99639680"/>
        <c:scaling>
          <c:orientation val="minMax"/>
        </c:scaling>
        <c:delete val="0"/>
        <c:axPos val="b"/>
        <c:numFmt formatCode="General" sourceLinked="0"/>
        <c:majorTickMark val="out"/>
        <c:minorTickMark val="none"/>
        <c:tickLblPos val="nextTo"/>
        <c:crossAx val="99641216"/>
        <c:crosses val="autoZero"/>
        <c:auto val="1"/>
        <c:lblAlgn val="ctr"/>
        <c:lblOffset val="100"/>
        <c:noMultiLvlLbl val="0"/>
      </c:catAx>
      <c:valAx>
        <c:axId val="99641216"/>
        <c:scaling>
          <c:orientation val="minMax"/>
          <c:max val="20"/>
          <c:min val="10"/>
        </c:scaling>
        <c:delete val="0"/>
        <c:axPos val="l"/>
        <c:numFmt formatCode="#,##0.0\x;\-#,##0.0\x" sourceLinked="0"/>
        <c:majorTickMark val="out"/>
        <c:minorTickMark val="none"/>
        <c:tickLblPos val="nextTo"/>
        <c:crossAx val="99639680"/>
        <c:crosses val="autoZero"/>
        <c:crossBetween val="between"/>
      </c:valAx>
    </c:plotArea>
    <c:plotVisOnly val="1"/>
    <c:dispBlanksAs val="gap"/>
    <c:showDLblsOverMax val="0"/>
  </c:chart>
  <c:spPr>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lang="en-US" sz="1100"/>
              <a:t>LTM EBITDA Multiple Range</a:t>
            </a:r>
          </a:p>
        </c:rich>
      </c:tx>
      <c:layout>
        <c:manualLayout>
          <c:xMode val="edge"/>
          <c:yMode val="edge"/>
          <c:x val="0.31291626892699836"/>
          <c:y val="0"/>
        </c:manualLayout>
      </c:layout>
      <c:overlay val="0"/>
    </c:title>
    <c:autoTitleDeleted val="0"/>
    <c:plotArea>
      <c:layout/>
      <c:barChart>
        <c:barDir val="col"/>
        <c:grouping val="stacked"/>
        <c:varyColors val="0"/>
        <c:ser>
          <c:idx val="0"/>
          <c:order val="0"/>
          <c:spPr>
            <a:noFill/>
          </c:spPr>
          <c:invertIfNegative val="0"/>
          <c:dLbls>
            <c:numFmt formatCode="#,##0.0\x;\-#,##0.0\x" sourceLinked="0"/>
            <c:spPr>
              <a:noFill/>
              <a:ln>
                <a:noFill/>
              </a:ln>
              <a:effectLst/>
            </c:sp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'Simple DCF Empty'!$G$122:$G$124</c:f>
              <c:strCache>
                <c:ptCount val="3"/>
                <c:pt idx="0">
                  <c:v>LTM EBITDA Purchase Multiple at 2.0%-4.0% Perpetuity Growth at 9.0% WACC</c:v>
                </c:pt>
                <c:pt idx="1">
                  <c:v>LTM EBITDA Purchase Multiple at 12.8x-14.5x Exit EBITDA Multiple at 9.0% WACC</c:v>
                </c:pt>
                <c:pt idx="2">
                  <c:v>LTM EBITDA Purchase Multiple at 8.0%-10.0% WACC at 12.5x Exit EBITDA</c:v>
                </c:pt>
              </c:strCache>
            </c:strRef>
          </c:cat>
          <c:val>
            <c:numRef>
              <c:f>'Simple DCF Empty'!$O$122:$O$124</c:f>
              <c:numCache>
                <c:formatCode>#,##0.00_);\(#,##0.00\)</c:formatCode>
                <c:ptCount val="3"/>
                <c:pt idx="0">
                  <c:v>12.158600506522676</c:v>
                </c:pt>
                <c:pt idx="1">
                  <c:v>12.786963644100345</c:v>
                </c:pt>
                <c:pt idx="2">
                  <c:v>13.122776360825991</c:v>
                </c:pt>
              </c:numCache>
            </c:numRef>
          </c:val>
          <c:extLst>
            <c:ext xmlns:c16="http://schemas.microsoft.com/office/drawing/2014/chart" uri="{C3380CC4-5D6E-409C-BE32-E72D297353CC}">
              <c16:uniqueId val="{00000000-0D3F-41D8-A510-FD6C0763E357}"/>
            </c:ext>
          </c:extLst>
        </c:ser>
        <c:ser>
          <c:idx val="1"/>
          <c:order val="1"/>
          <c:spPr>
            <a:solidFill>
              <a:schemeClr val="tx2"/>
            </a:solidFill>
          </c:spPr>
          <c:invertIfNegative val="0"/>
          <c:cat>
            <c:strRef>
              <c:f>'Simple DCF Empty'!$G$122:$G$124</c:f>
              <c:strCache>
                <c:ptCount val="3"/>
                <c:pt idx="0">
                  <c:v>LTM EBITDA Purchase Multiple at 2.0%-4.0% Perpetuity Growth at 9.0% WACC</c:v>
                </c:pt>
                <c:pt idx="1">
                  <c:v>LTM EBITDA Purchase Multiple at 12.8x-14.5x Exit EBITDA Multiple at 9.0% WACC</c:v>
                </c:pt>
                <c:pt idx="2">
                  <c:v>LTM EBITDA Purchase Multiple at 8.0%-10.0% WACC at 12.5x Exit EBITDA</c:v>
                </c:pt>
              </c:strCache>
            </c:strRef>
          </c:cat>
          <c:val>
            <c:numRef>
              <c:f>'Simple DCF Empty'!$P$122:$P$124</c:f>
              <c:numCache>
                <c:formatCode>#,##0.00_);\(#,##0.00\)</c:formatCode>
                <c:ptCount val="3"/>
                <c:pt idx="0">
                  <c:v>3.8793603063571584</c:v>
                </c:pt>
                <c:pt idx="1">
                  <c:v>1.6876401437846678</c:v>
                </c:pt>
                <c:pt idx="2">
                  <c:v>1.0418732444405041</c:v>
                </c:pt>
              </c:numCache>
            </c:numRef>
          </c:val>
          <c:extLst>
            <c:ext xmlns:c16="http://schemas.microsoft.com/office/drawing/2014/chart" uri="{C3380CC4-5D6E-409C-BE32-E72D297353CC}">
              <c16:uniqueId val="{00000001-0D3F-41D8-A510-FD6C0763E357}"/>
            </c:ext>
          </c:extLst>
        </c:ser>
        <c:ser>
          <c:idx val="2"/>
          <c:order val="2"/>
          <c:spPr>
            <a:noFill/>
          </c:spPr>
          <c:invertIfNegative val="0"/>
          <c:dLbls>
            <c:numFmt formatCode="#,##0.0\x;\-#,##0.0\x" sourceLinked="0"/>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'Simple DCF Empty'!$G$122:$G$124</c:f>
              <c:strCache>
                <c:ptCount val="3"/>
                <c:pt idx="0">
                  <c:v>LTM EBITDA Purchase Multiple at 2.0%-4.0% Perpetuity Growth at 9.0% WACC</c:v>
                </c:pt>
                <c:pt idx="1">
                  <c:v>LTM EBITDA Purchase Multiple at 12.8x-14.5x Exit EBITDA Multiple at 9.0% WACC</c:v>
                </c:pt>
                <c:pt idx="2">
                  <c:v>LTM EBITDA Purchase Multiple at 8.0%-10.0% WACC at 12.5x Exit EBITDA</c:v>
                </c:pt>
              </c:strCache>
            </c:strRef>
          </c:cat>
          <c:val>
            <c:numRef>
              <c:f>'Simple DCF Empty'!$Q$122:$Q$124</c:f>
              <c:numCache>
                <c:formatCode>#,##0.00_);\(#,##0.00\)</c:formatCode>
                <c:ptCount val="3"/>
                <c:pt idx="0">
                  <c:v>16.037960812879835</c:v>
                </c:pt>
                <c:pt idx="1">
                  <c:v>14.474603787885012</c:v>
                </c:pt>
                <c:pt idx="2">
                  <c:v>14.164649605266495</c:v>
                </c:pt>
              </c:numCache>
            </c:numRef>
          </c:val>
          <c:extLst>
            <c:ext xmlns:c16="http://schemas.microsoft.com/office/drawing/2014/chart" uri="{C3380CC4-5D6E-409C-BE32-E72D297353CC}">
              <c16:uniqueId val="{00000002-0D3F-41D8-A510-FD6C0763E357}"/>
            </c:ext>
          </c:extLst>
        </c:ser>
        <c:dLbls>
          <c:showLegendKey val="0"/>
          <c:showVal val="0"/>
          <c:showCatName val="0"/>
          <c:showSerName val="0"/>
          <c:showPercent val="0"/>
          <c:showBubbleSize val="0"/>
        </c:dLbls>
        <c:gapWidth val="150"/>
        <c:overlap val="100"/>
        <c:axId val="99639680"/>
        <c:axId val="99641216"/>
      </c:barChart>
      <c:catAx>
        <c:axId val="99639680"/>
        <c:scaling>
          <c:orientation val="minMax"/>
        </c:scaling>
        <c:delete val="0"/>
        <c:axPos val="b"/>
        <c:numFmt formatCode="General" sourceLinked="0"/>
        <c:majorTickMark val="out"/>
        <c:minorTickMark val="none"/>
        <c:tickLblPos val="nextTo"/>
        <c:crossAx val="99641216"/>
        <c:crosses val="autoZero"/>
        <c:auto val="1"/>
        <c:lblAlgn val="ctr"/>
        <c:lblOffset val="100"/>
        <c:noMultiLvlLbl val="0"/>
      </c:catAx>
      <c:valAx>
        <c:axId val="99641216"/>
        <c:scaling>
          <c:orientation val="minMax"/>
          <c:max val="20"/>
          <c:min val="10"/>
        </c:scaling>
        <c:delete val="0"/>
        <c:axPos val="l"/>
        <c:numFmt formatCode="#,##0.0\x;\-#,##0.0\x" sourceLinked="0"/>
        <c:majorTickMark val="out"/>
        <c:minorTickMark val="none"/>
        <c:tickLblPos val="nextTo"/>
        <c:crossAx val="99639680"/>
        <c:crosses val="autoZero"/>
        <c:crossBetween val="between"/>
      </c:valAx>
    </c:plotArea>
    <c:plotVisOnly val="1"/>
    <c:dispBlanksAs val="gap"/>
    <c:showDLblsOverMax val="0"/>
  </c:chart>
  <c:spPr>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lang="en-US" sz="1100"/>
              <a:t>DCF Equity Valuation Range </a:t>
            </a:r>
          </a:p>
        </c:rich>
      </c:tx>
      <c:layout>
        <c:manualLayout>
          <c:xMode val="edge"/>
          <c:yMode val="edge"/>
          <c:x val="0.31291626892699836"/>
          <c:y val="0"/>
        </c:manualLayout>
      </c:layout>
      <c:overlay val="0"/>
    </c:title>
    <c:autoTitleDeleted val="0"/>
    <c:plotArea>
      <c:layout/>
      <c:barChart>
        <c:barDir val="col"/>
        <c:grouping val="stacked"/>
        <c:varyColors val="0"/>
        <c:ser>
          <c:idx val="0"/>
          <c:order val="0"/>
          <c:spPr>
            <a:noFill/>
          </c:spPr>
          <c:invertIfNegative val="0"/>
          <c:dLbls>
            <c:spPr>
              <a:noFill/>
              <a:ln>
                <a:noFill/>
              </a:ln>
              <a:effectLst/>
            </c:sp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'Simple DCF Done'!$B$122:$B$124</c:f>
              <c:strCache>
                <c:ptCount val="3"/>
                <c:pt idx="0">
                  <c:v>DCF Value at 11.5x-13.5x Exit EBITDA Range at 9.0% WACC</c:v>
                </c:pt>
                <c:pt idx="1">
                  <c:v>DCF Value at 2.0%-4.0% Perpetuity Range at 9.0% WACC</c:v>
                </c:pt>
                <c:pt idx="2">
                  <c:v>52 Week Market High/Low</c:v>
                </c:pt>
              </c:strCache>
            </c:strRef>
          </c:cat>
          <c:val>
            <c:numRef>
              <c:f>'Simple DCF Done'!$C$122:$C$124</c:f>
              <c:numCache>
                <c:formatCode>#,##0.00_);\(#,##0.00\)</c:formatCode>
                <c:ptCount val="3"/>
                <c:pt idx="0">
                  <c:v>255.11212614708694</c:v>
                </c:pt>
                <c:pt idx="1">
                  <c:v>243.66113413110557</c:v>
                </c:pt>
                <c:pt idx="2">
                  <c:v>169.5</c:v>
                </c:pt>
              </c:numCache>
            </c:numRef>
          </c:val>
          <c:extLst>
            <c:ext xmlns:c16="http://schemas.microsoft.com/office/drawing/2014/chart" uri="{C3380CC4-5D6E-409C-BE32-E72D297353CC}">
              <c16:uniqueId val="{00000000-2482-4309-B0B2-BD520C38216E}"/>
            </c:ext>
          </c:extLst>
        </c:ser>
        <c:ser>
          <c:idx val="1"/>
          <c:order val="1"/>
          <c:invertIfNegative val="0"/>
          <c:cat>
            <c:strRef>
              <c:f>'Simple DCF Done'!$B$122:$B$124</c:f>
              <c:strCache>
                <c:ptCount val="3"/>
                <c:pt idx="0">
                  <c:v>DCF Value at 11.5x-13.5x Exit EBITDA Range at 9.0% WACC</c:v>
                </c:pt>
                <c:pt idx="1">
                  <c:v>DCF Value at 2.0%-4.0% Perpetuity Range at 9.0% WACC</c:v>
                </c:pt>
                <c:pt idx="2">
                  <c:v>52 Week Market High/Low</c:v>
                </c:pt>
              </c:strCache>
            </c:strRef>
          </c:cat>
          <c:val>
            <c:numRef>
              <c:f>'Simple DCF Done'!$D$122:$D$124</c:f>
              <c:numCache>
                <c:formatCode>#,##0.00_);\(#,##0.00\)</c:formatCode>
                <c:ptCount val="3"/>
                <c:pt idx="0">
                  <c:v>30.754754148733241</c:v>
                </c:pt>
                <c:pt idx="1">
                  <c:v>70.695623658731876</c:v>
                </c:pt>
                <c:pt idx="2">
                  <c:v>158.35000000000002</c:v>
                </c:pt>
              </c:numCache>
            </c:numRef>
          </c:val>
          <c:extLst>
            <c:ext xmlns:c16="http://schemas.microsoft.com/office/drawing/2014/chart" uri="{C3380CC4-5D6E-409C-BE32-E72D297353CC}">
              <c16:uniqueId val="{00000001-2482-4309-B0B2-BD520C38216E}"/>
            </c:ext>
          </c:extLst>
        </c:ser>
        <c:ser>
          <c:idx val="2"/>
          <c:order val="2"/>
          <c:spPr>
            <a:noFill/>
          </c:spPr>
          <c:invertIfNegative val="0"/>
          <c:dLbls>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'Simple DCF Done'!$B$122:$B$124</c:f>
              <c:strCache>
                <c:ptCount val="3"/>
                <c:pt idx="0">
                  <c:v>DCF Value at 11.5x-13.5x Exit EBITDA Range at 9.0% WACC</c:v>
                </c:pt>
                <c:pt idx="1">
                  <c:v>DCF Value at 2.0%-4.0% Perpetuity Range at 9.0% WACC</c:v>
                </c:pt>
                <c:pt idx="2">
                  <c:v>52 Week Market High/Low</c:v>
                </c:pt>
              </c:strCache>
            </c:strRef>
          </c:cat>
          <c:val>
            <c:numRef>
              <c:f>'Simple DCF Done'!$E$122:$E$124</c:f>
              <c:numCache>
                <c:formatCode>#,##0.00_);\(#,##0.00\)</c:formatCode>
                <c:ptCount val="3"/>
                <c:pt idx="0">
                  <c:v>285.86688029582018</c:v>
                </c:pt>
                <c:pt idx="1">
                  <c:v>314.35675778983745</c:v>
                </c:pt>
                <c:pt idx="2">
                  <c:v>327.85</c:v>
                </c:pt>
              </c:numCache>
            </c:numRef>
          </c:val>
          <c:extLst>
            <c:ext xmlns:c16="http://schemas.microsoft.com/office/drawing/2014/chart" uri="{C3380CC4-5D6E-409C-BE32-E72D297353CC}">
              <c16:uniqueId val="{00000002-2482-4309-B0B2-BD520C38216E}"/>
            </c:ext>
          </c:extLst>
        </c:ser>
        <c:dLbls>
          <c:showLegendKey val="0"/>
          <c:showVal val="0"/>
          <c:showCatName val="0"/>
          <c:showSerName val="0"/>
          <c:showPercent val="0"/>
          <c:showBubbleSize val="0"/>
        </c:dLbls>
        <c:gapWidth val="150"/>
        <c:overlap val="100"/>
        <c:axId val="99639680"/>
        <c:axId val="99641216"/>
      </c:barChart>
      <c:catAx>
        <c:axId val="99639680"/>
        <c:scaling>
          <c:orientation val="minMax"/>
        </c:scaling>
        <c:delete val="0"/>
        <c:axPos val="b"/>
        <c:numFmt formatCode="General" sourceLinked="0"/>
        <c:majorTickMark val="out"/>
        <c:minorTickMark val="none"/>
        <c:tickLblPos val="nextTo"/>
        <c:crossAx val="99641216"/>
        <c:crosses val="autoZero"/>
        <c:auto val="1"/>
        <c:lblAlgn val="ctr"/>
        <c:lblOffset val="100"/>
        <c:noMultiLvlLbl val="0"/>
      </c:catAx>
      <c:valAx>
        <c:axId val="99641216"/>
        <c:scaling>
          <c:orientation val="minMax"/>
          <c:max val="400"/>
          <c:min val="100"/>
        </c:scaling>
        <c:delete val="0"/>
        <c:axPos val="l"/>
        <c:numFmt formatCode="#,##0.00_);\(#,##0.00\)" sourceLinked="1"/>
        <c:majorTickMark val="out"/>
        <c:minorTickMark val="none"/>
        <c:tickLblPos val="nextTo"/>
        <c:crossAx val="99639680"/>
        <c:crosses val="autoZero"/>
        <c:crossBetween val="between"/>
      </c:valAx>
    </c:plotArea>
    <c:plotVisOnly val="1"/>
    <c:dispBlanksAs val="gap"/>
    <c:showDLblsOverMax val="0"/>
  </c:chart>
  <c:spPr>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lang="en-US" sz="1100"/>
              <a:t>LTM EBITDA Multiple Range</a:t>
            </a:r>
          </a:p>
        </c:rich>
      </c:tx>
      <c:layout>
        <c:manualLayout>
          <c:xMode val="edge"/>
          <c:yMode val="edge"/>
          <c:x val="0.31291626892699836"/>
          <c:y val="0"/>
        </c:manualLayout>
      </c:layout>
      <c:overlay val="0"/>
    </c:title>
    <c:autoTitleDeleted val="0"/>
    <c:plotArea>
      <c:layout/>
      <c:barChart>
        <c:barDir val="col"/>
        <c:grouping val="stacked"/>
        <c:varyColors val="0"/>
        <c:ser>
          <c:idx val="0"/>
          <c:order val="0"/>
          <c:spPr>
            <a:noFill/>
          </c:spPr>
          <c:invertIfNegative val="0"/>
          <c:dLbls>
            <c:numFmt formatCode="#,##0.0\x;\-#,##0.0\x" sourceLinked="0"/>
            <c:spPr>
              <a:noFill/>
              <a:ln>
                <a:noFill/>
              </a:ln>
              <a:effectLst/>
            </c:sp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'Simple DCF Done'!$G$122:$G$124</c:f>
              <c:strCache>
                <c:ptCount val="3"/>
                <c:pt idx="0">
                  <c:v>LTM EBITDA Purchase Multiple at 2.0%-4.0% Perpetuity Growth at 9.0% WACC</c:v>
                </c:pt>
                <c:pt idx="1">
                  <c:v>LTM EBITDA Purchase Multiple at 12.8x-14.5x Exit EBITDA Multiple at 9.0% WACC</c:v>
                </c:pt>
                <c:pt idx="2">
                  <c:v>LTM EBITDA Purchase Multiple at 8.0%-10.0% WACC at 12.5x Exit EBITDA</c:v>
                </c:pt>
              </c:strCache>
            </c:strRef>
          </c:cat>
          <c:val>
            <c:numRef>
              <c:f>'Simple DCF Done'!$O$122:$O$124</c:f>
              <c:numCache>
                <c:formatCode>#,##0.00_);\(#,##0.00\)</c:formatCode>
                <c:ptCount val="3"/>
                <c:pt idx="0">
                  <c:v>12.158600506522676</c:v>
                </c:pt>
                <c:pt idx="1">
                  <c:v>12.786963644100345</c:v>
                </c:pt>
                <c:pt idx="2">
                  <c:v>13.122776360825991</c:v>
                </c:pt>
              </c:numCache>
            </c:numRef>
          </c:val>
          <c:extLst>
            <c:ext xmlns:c16="http://schemas.microsoft.com/office/drawing/2014/chart" uri="{C3380CC4-5D6E-409C-BE32-E72D297353CC}">
              <c16:uniqueId val="{00000000-F15D-4A7F-B33D-48289B0A3F4E}"/>
            </c:ext>
          </c:extLst>
        </c:ser>
        <c:ser>
          <c:idx val="1"/>
          <c:order val="1"/>
          <c:spPr>
            <a:solidFill>
              <a:schemeClr val="tx2"/>
            </a:solidFill>
          </c:spPr>
          <c:invertIfNegative val="0"/>
          <c:cat>
            <c:strRef>
              <c:f>'Simple DCF Done'!$G$122:$G$124</c:f>
              <c:strCache>
                <c:ptCount val="3"/>
                <c:pt idx="0">
                  <c:v>LTM EBITDA Purchase Multiple at 2.0%-4.0% Perpetuity Growth at 9.0% WACC</c:v>
                </c:pt>
                <c:pt idx="1">
                  <c:v>LTM EBITDA Purchase Multiple at 12.8x-14.5x Exit EBITDA Multiple at 9.0% WACC</c:v>
                </c:pt>
                <c:pt idx="2">
                  <c:v>LTM EBITDA Purchase Multiple at 8.0%-10.0% WACC at 12.5x Exit EBITDA</c:v>
                </c:pt>
              </c:strCache>
            </c:strRef>
          </c:cat>
          <c:val>
            <c:numRef>
              <c:f>'Simple DCF Done'!$P$122:$P$124</c:f>
              <c:numCache>
                <c:formatCode>#,##0.00_);\(#,##0.00\)</c:formatCode>
                <c:ptCount val="3"/>
                <c:pt idx="0">
                  <c:v>3.8793603063571584</c:v>
                </c:pt>
                <c:pt idx="1">
                  <c:v>1.6876401437846678</c:v>
                </c:pt>
                <c:pt idx="2">
                  <c:v>1.0418732444405041</c:v>
                </c:pt>
              </c:numCache>
            </c:numRef>
          </c:val>
          <c:extLst>
            <c:ext xmlns:c16="http://schemas.microsoft.com/office/drawing/2014/chart" uri="{C3380CC4-5D6E-409C-BE32-E72D297353CC}">
              <c16:uniqueId val="{00000001-F15D-4A7F-B33D-48289B0A3F4E}"/>
            </c:ext>
          </c:extLst>
        </c:ser>
        <c:ser>
          <c:idx val="2"/>
          <c:order val="2"/>
          <c:spPr>
            <a:noFill/>
          </c:spPr>
          <c:invertIfNegative val="0"/>
          <c:dLbls>
            <c:numFmt formatCode="#,##0.0\x;\-#,##0.0\x" sourceLinked="0"/>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'Simple DCF Done'!$G$122:$G$124</c:f>
              <c:strCache>
                <c:ptCount val="3"/>
                <c:pt idx="0">
                  <c:v>LTM EBITDA Purchase Multiple at 2.0%-4.0% Perpetuity Growth at 9.0% WACC</c:v>
                </c:pt>
                <c:pt idx="1">
                  <c:v>LTM EBITDA Purchase Multiple at 12.8x-14.5x Exit EBITDA Multiple at 9.0% WACC</c:v>
                </c:pt>
                <c:pt idx="2">
                  <c:v>LTM EBITDA Purchase Multiple at 8.0%-10.0% WACC at 12.5x Exit EBITDA</c:v>
                </c:pt>
              </c:strCache>
            </c:strRef>
          </c:cat>
          <c:val>
            <c:numRef>
              <c:f>'Simple DCF Done'!$Q$122:$Q$124</c:f>
              <c:numCache>
                <c:formatCode>#,##0.00_);\(#,##0.00\)</c:formatCode>
                <c:ptCount val="3"/>
                <c:pt idx="0">
                  <c:v>16.037960812879835</c:v>
                </c:pt>
                <c:pt idx="1">
                  <c:v>14.474603787885012</c:v>
                </c:pt>
                <c:pt idx="2">
                  <c:v>14.164649605266495</c:v>
                </c:pt>
              </c:numCache>
            </c:numRef>
          </c:val>
          <c:extLst>
            <c:ext xmlns:c16="http://schemas.microsoft.com/office/drawing/2014/chart" uri="{C3380CC4-5D6E-409C-BE32-E72D297353CC}">
              <c16:uniqueId val="{00000002-F15D-4A7F-B33D-48289B0A3F4E}"/>
            </c:ext>
          </c:extLst>
        </c:ser>
        <c:dLbls>
          <c:showLegendKey val="0"/>
          <c:showVal val="0"/>
          <c:showCatName val="0"/>
          <c:showSerName val="0"/>
          <c:showPercent val="0"/>
          <c:showBubbleSize val="0"/>
        </c:dLbls>
        <c:gapWidth val="150"/>
        <c:overlap val="100"/>
        <c:axId val="99639680"/>
        <c:axId val="99641216"/>
      </c:barChart>
      <c:catAx>
        <c:axId val="99639680"/>
        <c:scaling>
          <c:orientation val="minMax"/>
        </c:scaling>
        <c:delete val="0"/>
        <c:axPos val="b"/>
        <c:numFmt formatCode="General" sourceLinked="0"/>
        <c:majorTickMark val="out"/>
        <c:minorTickMark val="none"/>
        <c:tickLblPos val="nextTo"/>
        <c:crossAx val="99641216"/>
        <c:crosses val="autoZero"/>
        <c:auto val="1"/>
        <c:lblAlgn val="ctr"/>
        <c:lblOffset val="100"/>
        <c:noMultiLvlLbl val="0"/>
      </c:catAx>
      <c:valAx>
        <c:axId val="99641216"/>
        <c:scaling>
          <c:orientation val="minMax"/>
          <c:max val="20"/>
          <c:min val="10"/>
        </c:scaling>
        <c:delete val="0"/>
        <c:axPos val="l"/>
        <c:numFmt formatCode="#,##0.0\x;\-#,##0.0\x" sourceLinked="0"/>
        <c:majorTickMark val="out"/>
        <c:minorTickMark val="none"/>
        <c:tickLblPos val="nextTo"/>
        <c:crossAx val="99639680"/>
        <c:crosses val="autoZero"/>
        <c:crossBetween val="between"/>
      </c:valAx>
    </c:plotArea>
    <c:plotVisOnly val="1"/>
    <c:dispBlanksAs val="gap"/>
    <c:showDLblsOverMax val="0"/>
  </c:chart>
  <c:spPr>
    <a:ln>
      <a:noFill/>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lang="en-US" sz="1100"/>
              <a:t>DCF Equity Valuation Range </a:t>
            </a:r>
          </a:p>
        </c:rich>
      </c:tx>
      <c:layout>
        <c:manualLayout>
          <c:xMode val="edge"/>
          <c:yMode val="edge"/>
          <c:x val="0.31291626892699836"/>
          <c:y val="0"/>
        </c:manualLayout>
      </c:layout>
      <c:overlay val="0"/>
    </c:title>
    <c:autoTitleDeleted val="0"/>
    <c:plotArea>
      <c:layout/>
      <c:barChart>
        <c:barDir val="col"/>
        <c:grouping val="stacked"/>
        <c:varyColors val="0"/>
        <c:ser>
          <c:idx val="0"/>
          <c:order val="0"/>
          <c:spPr>
            <a:noFill/>
          </c:spPr>
          <c:invertIfNegative val="0"/>
          <c:dLbls>
            <c:spPr>
              <a:noFill/>
              <a:ln>
                <a:noFill/>
              </a:ln>
              <a:effectLst/>
            </c:sp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'DCF 1-Pager'!$B$122:$B$124</c:f>
              <c:strCache>
                <c:ptCount val="3"/>
                <c:pt idx="0">
                  <c:v>DCF Value at 11.5x-13.5x Exit EBITDA Range at 9.0% WACC</c:v>
                </c:pt>
                <c:pt idx="1">
                  <c:v>DCF Value at 2.0%-4.0% Perpetuity Range at 9.0% WACC</c:v>
                </c:pt>
                <c:pt idx="2">
                  <c:v>52 Week Market High/Low</c:v>
                </c:pt>
              </c:strCache>
            </c:strRef>
          </c:cat>
          <c:val>
            <c:numRef>
              <c:f>'DCF 1-Pager'!$C$122:$C$124</c:f>
              <c:numCache>
                <c:formatCode>#,##0.00_);\(#,##0.00\)</c:formatCode>
                <c:ptCount val="3"/>
                <c:pt idx="0">
                  <c:v>238.85124442574289</c:v>
                </c:pt>
                <c:pt idx="1">
                  <c:v>228.13014020292965</c:v>
                </c:pt>
                <c:pt idx="2">
                  <c:v>169.5</c:v>
                </c:pt>
              </c:numCache>
            </c:numRef>
          </c:val>
          <c:extLst>
            <c:ext xmlns:c16="http://schemas.microsoft.com/office/drawing/2014/chart" uri="{C3380CC4-5D6E-409C-BE32-E72D297353CC}">
              <c16:uniqueId val="{00000000-EF01-44B3-90F4-7DAE08F8FA30}"/>
            </c:ext>
          </c:extLst>
        </c:ser>
        <c:ser>
          <c:idx val="1"/>
          <c:order val="1"/>
          <c:invertIfNegative val="0"/>
          <c:cat>
            <c:strRef>
              <c:f>'DCF 1-Pager'!$B$122:$B$124</c:f>
              <c:strCache>
                <c:ptCount val="3"/>
                <c:pt idx="0">
                  <c:v>DCF Value at 11.5x-13.5x Exit EBITDA Range at 9.0% WACC</c:v>
                </c:pt>
                <c:pt idx="1">
                  <c:v>DCF Value at 2.0%-4.0% Perpetuity Range at 9.0% WACC</c:v>
                </c:pt>
                <c:pt idx="2">
                  <c:v>52 Week Market High/Low</c:v>
                </c:pt>
              </c:strCache>
            </c:strRef>
          </c:cat>
          <c:val>
            <c:numRef>
              <c:f>'DCF 1-Pager'!$D$122:$D$124</c:f>
              <c:numCache>
                <c:formatCode>#,##0.00_);\(#,##0.00\)</c:formatCode>
                <c:ptCount val="3"/>
                <c:pt idx="0">
                  <c:v>28.794441923930492</c:v>
                </c:pt>
                <c:pt idx="1">
                  <c:v>66.18947496288942</c:v>
                </c:pt>
                <c:pt idx="2">
                  <c:v>158.35000000000002</c:v>
                </c:pt>
              </c:numCache>
            </c:numRef>
          </c:val>
          <c:extLst>
            <c:ext xmlns:c16="http://schemas.microsoft.com/office/drawing/2014/chart" uri="{C3380CC4-5D6E-409C-BE32-E72D297353CC}">
              <c16:uniqueId val="{00000001-EF01-44B3-90F4-7DAE08F8FA30}"/>
            </c:ext>
          </c:extLst>
        </c:ser>
        <c:ser>
          <c:idx val="2"/>
          <c:order val="2"/>
          <c:spPr>
            <a:noFill/>
          </c:spPr>
          <c:invertIfNegative val="0"/>
          <c:dLbls>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'DCF 1-Pager'!$B$122:$B$124</c:f>
              <c:strCache>
                <c:ptCount val="3"/>
                <c:pt idx="0">
                  <c:v>DCF Value at 11.5x-13.5x Exit EBITDA Range at 9.0% WACC</c:v>
                </c:pt>
                <c:pt idx="1">
                  <c:v>DCF Value at 2.0%-4.0% Perpetuity Range at 9.0% WACC</c:v>
                </c:pt>
                <c:pt idx="2">
                  <c:v>52 Week Market High/Low</c:v>
                </c:pt>
              </c:strCache>
            </c:strRef>
          </c:cat>
          <c:val>
            <c:numRef>
              <c:f>'DCF 1-Pager'!$E$122:$E$124</c:f>
              <c:numCache>
                <c:formatCode>#,##0.00_);\(#,##0.00\)</c:formatCode>
                <c:ptCount val="3"/>
                <c:pt idx="0">
                  <c:v>267.64568634967338</c:v>
                </c:pt>
                <c:pt idx="1">
                  <c:v>294.31961516581907</c:v>
                </c:pt>
                <c:pt idx="2">
                  <c:v>327.85</c:v>
                </c:pt>
              </c:numCache>
            </c:numRef>
          </c:val>
          <c:extLst>
            <c:ext xmlns:c16="http://schemas.microsoft.com/office/drawing/2014/chart" uri="{C3380CC4-5D6E-409C-BE32-E72D297353CC}">
              <c16:uniqueId val="{00000002-EF01-44B3-90F4-7DAE08F8FA30}"/>
            </c:ext>
          </c:extLst>
        </c:ser>
        <c:dLbls>
          <c:showLegendKey val="0"/>
          <c:showVal val="0"/>
          <c:showCatName val="0"/>
          <c:showSerName val="0"/>
          <c:showPercent val="0"/>
          <c:showBubbleSize val="0"/>
        </c:dLbls>
        <c:gapWidth val="150"/>
        <c:overlap val="100"/>
        <c:axId val="99639680"/>
        <c:axId val="99641216"/>
      </c:barChart>
      <c:catAx>
        <c:axId val="99639680"/>
        <c:scaling>
          <c:orientation val="minMax"/>
        </c:scaling>
        <c:delete val="0"/>
        <c:axPos val="b"/>
        <c:numFmt formatCode="General" sourceLinked="0"/>
        <c:majorTickMark val="out"/>
        <c:minorTickMark val="none"/>
        <c:tickLblPos val="nextTo"/>
        <c:crossAx val="99641216"/>
        <c:crosses val="autoZero"/>
        <c:auto val="1"/>
        <c:lblAlgn val="ctr"/>
        <c:lblOffset val="100"/>
        <c:noMultiLvlLbl val="0"/>
      </c:catAx>
      <c:valAx>
        <c:axId val="99641216"/>
        <c:scaling>
          <c:orientation val="minMax"/>
          <c:max val="400"/>
          <c:min val="100"/>
        </c:scaling>
        <c:delete val="0"/>
        <c:axPos val="l"/>
        <c:numFmt formatCode="#,##0.00_);\(#,##0.00\)" sourceLinked="1"/>
        <c:majorTickMark val="out"/>
        <c:minorTickMark val="none"/>
        <c:tickLblPos val="nextTo"/>
        <c:crossAx val="99639680"/>
        <c:crosses val="autoZero"/>
        <c:crossBetween val="between"/>
      </c:valAx>
    </c:plotArea>
    <c:plotVisOnly val="1"/>
    <c:dispBlanksAs val="gap"/>
    <c:showDLblsOverMax val="0"/>
  </c:chart>
  <c:spPr>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lang="en-US" sz="1100"/>
              <a:t>LTM EBITDA Multiple Range</a:t>
            </a:r>
          </a:p>
        </c:rich>
      </c:tx>
      <c:layout>
        <c:manualLayout>
          <c:xMode val="edge"/>
          <c:yMode val="edge"/>
          <c:x val="0.31291626892699836"/>
          <c:y val="0"/>
        </c:manualLayout>
      </c:layout>
      <c:overlay val="0"/>
    </c:title>
    <c:autoTitleDeleted val="0"/>
    <c:plotArea>
      <c:layout/>
      <c:barChart>
        <c:barDir val="col"/>
        <c:grouping val="stacked"/>
        <c:varyColors val="0"/>
        <c:ser>
          <c:idx val="0"/>
          <c:order val="0"/>
          <c:spPr>
            <a:noFill/>
          </c:spPr>
          <c:invertIfNegative val="0"/>
          <c:dLbls>
            <c:numFmt formatCode="#,##0.0\x;\-#,##0.0\x" sourceLinked="0"/>
            <c:spPr>
              <a:noFill/>
              <a:ln>
                <a:noFill/>
              </a:ln>
              <a:effectLst/>
            </c:sp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'DCF 1-Pager'!$G$122:$G$124</c:f>
              <c:strCache>
                <c:ptCount val="3"/>
                <c:pt idx="0">
                  <c:v>LTM EBITDA Purchase Multiple at 2.0%-4.0% Perpetuity Growth at 9.0% WACC</c:v>
                </c:pt>
                <c:pt idx="1">
                  <c:v>LTM EBITDA Purchase Multiple at 12.8x-14.5x Exit EBITDA Multiple at 9.0% WACC</c:v>
                </c:pt>
                <c:pt idx="2">
                  <c:v>LTM EBITDA Purchase Multiple at 8.0%-10.0% WACC at 12.5x Exit EBITDA</c:v>
                </c:pt>
              </c:strCache>
            </c:strRef>
          </c:cat>
          <c:val>
            <c:numRef>
              <c:f>'DCF 1-Pager'!$O$122:$O$124</c:f>
              <c:numCache>
                <c:formatCode>#,##0.00_);\(#,##0.00\)</c:formatCode>
                <c:ptCount val="3"/>
                <c:pt idx="0">
                  <c:v>12.158600506522676</c:v>
                </c:pt>
                <c:pt idx="1">
                  <c:v>12.786963644100345</c:v>
                </c:pt>
                <c:pt idx="2">
                  <c:v>13.122776360825991</c:v>
                </c:pt>
              </c:numCache>
            </c:numRef>
          </c:val>
          <c:extLst>
            <c:ext xmlns:c16="http://schemas.microsoft.com/office/drawing/2014/chart" uri="{C3380CC4-5D6E-409C-BE32-E72D297353CC}">
              <c16:uniqueId val="{00000000-56B6-48B0-BC21-6DEA101AE7D5}"/>
            </c:ext>
          </c:extLst>
        </c:ser>
        <c:ser>
          <c:idx val="1"/>
          <c:order val="1"/>
          <c:spPr>
            <a:solidFill>
              <a:schemeClr val="tx2"/>
            </a:solidFill>
          </c:spPr>
          <c:invertIfNegative val="0"/>
          <c:cat>
            <c:strRef>
              <c:f>'DCF 1-Pager'!$G$122:$G$124</c:f>
              <c:strCache>
                <c:ptCount val="3"/>
                <c:pt idx="0">
                  <c:v>LTM EBITDA Purchase Multiple at 2.0%-4.0% Perpetuity Growth at 9.0% WACC</c:v>
                </c:pt>
                <c:pt idx="1">
                  <c:v>LTM EBITDA Purchase Multiple at 12.8x-14.5x Exit EBITDA Multiple at 9.0% WACC</c:v>
                </c:pt>
                <c:pt idx="2">
                  <c:v>LTM EBITDA Purchase Multiple at 8.0%-10.0% WACC at 12.5x Exit EBITDA</c:v>
                </c:pt>
              </c:strCache>
            </c:strRef>
          </c:cat>
          <c:val>
            <c:numRef>
              <c:f>'DCF 1-Pager'!$P$122:$P$124</c:f>
              <c:numCache>
                <c:formatCode>#,##0.00_);\(#,##0.00\)</c:formatCode>
                <c:ptCount val="3"/>
                <c:pt idx="0">
                  <c:v>3.8793603063571584</c:v>
                </c:pt>
                <c:pt idx="1">
                  <c:v>1.6876401437846678</c:v>
                </c:pt>
                <c:pt idx="2">
                  <c:v>1.0418732444405041</c:v>
                </c:pt>
              </c:numCache>
            </c:numRef>
          </c:val>
          <c:extLst>
            <c:ext xmlns:c16="http://schemas.microsoft.com/office/drawing/2014/chart" uri="{C3380CC4-5D6E-409C-BE32-E72D297353CC}">
              <c16:uniqueId val="{00000001-56B6-48B0-BC21-6DEA101AE7D5}"/>
            </c:ext>
          </c:extLst>
        </c:ser>
        <c:ser>
          <c:idx val="2"/>
          <c:order val="2"/>
          <c:spPr>
            <a:noFill/>
          </c:spPr>
          <c:invertIfNegative val="0"/>
          <c:dLbls>
            <c:numFmt formatCode="#,##0.0\x;\-#,##0.0\x" sourceLinked="0"/>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'DCF 1-Pager'!$G$122:$G$124</c:f>
              <c:strCache>
                <c:ptCount val="3"/>
                <c:pt idx="0">
                  <c:v>LTM EBITDA Purchase Multiple at 2.0%-4.0% Perpetuity Growth at 9.0% WACC</c:v>
                </c:pt>
                <c:pt idx="1">
                  <c:v>LTM EBITDA Purchase Multiple at 12.8x-14.5x Exit EBITDA Multiple at 9.0% WACC</c:v>
                </c:pt>
                <c:pt idx="2">
                  <c:v>LTM EBITDA Purchase Multiple at 8.0%-10.0% WACC at 12.5x Exit EBITDA</c:v>
                </c:pt>
              </c:strCache>
            </c:strRef>
          </c:cat>
          <c:val>
            <c:numRef>
              <c:f>'DCF 1-Pager'!$Q$122:$Q$124</c:f>
              <c:numCache>
                <c:formatCode>#,##0.00_);\(#,##0.00\)</c:formatCode>
                <c:ptCount val="3"/>
                <c:pt idx="0">
                  <c:v>16.037960812879835</c:v>
                </c:pt>
                <c:pt idx="1">
                  <c:v>14.474603787885012</c:v>
                </c:pt>
                <c:pt idx="2">
                  <c:v>14.164649605266495</c:v>
                </c:pt>
              </c:numCache>
            </c:numRef>
          </c:val>
          <c:extLst>
            <c:ext xmlns:c16="http://schemas.microsoft.com/office/drawing/2014/chart" uri="{C3380CC4-5D6E-409C-BE32-E72D297353CC}">
              <c16:uniqueId val="{00000002-56B6-48B0-BC21-6DEA101AE7D5}"/>
            </c:ext>
          </c:extLst>
        </c:ser>
        <c:dLbls>
          <c:showLegendKey val="0"/>
          <c:showVal val="0"/>
          <c:showCatName val="0"/>
          <c:showSerName val="0"/>
          <c:showPercent val="0"/>
          <c:showBubbleSize val="0"/>
        </c:dLbls>
        <c:gapWidth val="150"/>
        <c:overlap val="100"/>
        <c:axId val="99639680"/>
        <c:axId val="99641216"/>
      </c:barChart>
      <c:catAx>
        <c:axId val="99639680"/>
        <c:scaling>
          <c:orientation val="minMax"/>
        </c:scaling>
        <c:delete val="0"/>
        <c:axPos val="b"/>
        <c:numFmt formatCode="General" sourceLinked="0"/>
        <c:majorTickMark val="out"/>
        <c:minorTickMark val="none"/>
        <c:tickLblPos val="nextTo"/>
        <c:crossAx val="99641216"/>
        <c:crosses val="autoZero"/>
        <c:auto val="1"/>
        <c:lblAlgn val="ctr"/>
        <c:lblOffset val="100"/>
        <c:noMultiLvlLbl val="0"/>
      </c:catAx>
      <c:valAx>
        <c:axId val="99641216"/>
        <c:scaling>
          <c:orientation val="minMax"/>
          <c:max val="20"/>
          <c:min val="10"/>
        </c:scaling>
        <c:delete val="0"/>
        <c:axPos val="l"/>
        <c:numFmt formatCode="#,##0.0\x;\-#,##0.0\x" sourceLinked="0"/>
        <c:majorTickMark val="out"/>
        <c:minorTickMark val="none"/>
        <c:tickLblPos val="nextTo"/>
        <c:crossAx val="99639680"/>
        <c:crosses val="autoZero"/>
        <c:crossBetween val="between"/>
      </c:valAx>
    </c:plotArea>
    <c:plotVisOnly val="1"/>
    <c:dispBlanksAs val="gap"/>
    <c:showDLblsOverMax val="0"/>
  </c:chart>
  <c:spPr>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lang="en-US" sz="1100"/>
              <a:t>DCF Equity Valuation Range </a:t>
            </a:r>
          </a:p>
        </c:rich>
      </c:tx>
      <c:layout>
        <c:manualLayout>
          <c:xMode val="edge"/>
          <c:yMode val="edge"/>
          <c:x val="0.31291626892699836"/>
          <c:y val="0"/>
        </c:manualLayout>
      </c:layout>
      <c:overlay val="0"/>
    </c:title>
    <c:autoTitleDeleted val="0"/>
    <c:plotArea>
      <c:layout/>
      <c:barChart>
        <c:barDir val="col"/>
        <c:grouping val="stacked"/>
        <c:varyColors val="0"/>
        <c:ser>
          <c:idx val="0"/>
          <c:order val="0"/>
          <c:spPr>
            <a:noFill/>
          </c:spPr>
          <c:invertIfNegative val="0"/>
          <c:dLbls>
            <c:spPr>
              <a:noFill/>
              <a:ln>
                <a:noFill/>
              </a:ln>
              <a:effectLst/>
            </c:sp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'Integrated DCF Empty'!$B$128:$B$130</c:f>
              <c:strCache>
                <c:ptCount val="3"/>
                <c:pt idx="0">
                  <c:v>DCF Value at 11.0x-15.0x Exit EBITDA Range at 9.0% WACC</c:v>
                </c:pt>
                <c:pt idx="1">
                  <c:v>DCF Value at 2.0%-4.0% Perpetuity Range at 9.0% WACC</c:v>
                </c:pt>
                <c:pt idx="2">
                  <c:v>52 Week Market High/Low</c:v>
                </c:pt>
              </c:strCache>
            </c:strRef>
          </c:cat>
          <c:val>
            <c:numRef>
              <c:f>'Integrated DCF Empty'!$C$128:$C$130</c:f>
              <c:numCache>
                <c:formatCode>#,##0.00_);\(#,##0.00\)</c:formatCode>
                <c:ptCount val="3"/>
                <c:pt idx="0">
                  <c:v>20.680633001583054</c:v>
                </c:pt>
                <c:pt idx="1">
                  <c:v>20.680633001583054</c:v>
                </c:pt>
                <c:pt idx="2">
                  <c:v>169.5</c:v>
                </c:pt>
              </c:numCache>
            </c:numRef>
          </c:val>
          <c:extLst>
            <c:ext xmlns:c16="http://schemas.microsoft.com/office/drawing/2014/chart" uri="{C3380CC4-5D6E-409C-BE32-E72D297353CC}">
              <c16:uniqueId val="{00000000-6BDC-4DAE-A363-87946DD62F59}"/>
            </c:ext>
          </c:extLst>
        </c:ser>
        <c:ser>
          <c:idx val="1"/>
          <c:order val="1"/>
          <c:invertIfNegative val="0"/>
          <c:cat>
            <c:strRef>
              <c:f>'Integrated DCF Empty'!$B$128:$B$130</c:f>
              <c:strCache>
                <c:ptCount val="3"/>
                <c:pt idx="0">
                  <c:v>DCF Value at 11.0x-15.0x Exit EBITDA Range at 9.0% WACC</c:v>
                </c:pt>
                <c:pt idx="1">
                  <c:v>DCF Value at 2.0%-4.0% Perpetuity Range at 9.0% WACC</c:v>
                </c:pt>
                <c:pt idx="2">
                  <c:v>52 Week Market High/Low</c:v>
                </c:pt>
              </c:strCache>
            </c:strRef>
          </c:cat>
          <c:val>
            <c:numRef>
              <c:f>'Integrated DCF Empty'!$D$128:$D$130</c:f>
              <c:numCache>
                <c:formatCode>#,##0.00_);\(#,##0.00\)</c:formatCode>
                <c:ptCount val="3"/>
                <c:pt idx="0">
                  <c:v>0</c:v>
                </c:pt>
                <c:pt idx="1">
                  <c:v>0</c:v>
                </c:pt>
                <c:pt idx="2">
                  <c:v>158.35000000000002</c:v>
                </c:pt>
              </c:numCache>
            </c:numRef>
          </c:val>
          <c:extLst>
            <c:ext xmlns:c16="http://schemas.microsoft.com/office/drawing/2014/chart" uri="{C3380CC4-5D6E-409C-BE32-E72D297353CC}">
              <c16:uniqueId val="{00000001-6BDC-4DAE-A363-87946DD62F59}"/>
            </c:ext>
          </c:extLst>
        </c:ser>
        <c:ser>
          <c:idx val="2"/>
          <c:order val="2"/>
          <c:spPr>
            <a:noFill/>
          </c:spPr>
          <c:invertIfNegative val="0"/>
          <c:dLbls>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'Integrated DCF Empty'!$B$128:$B$130</c:f>
              <c:strCache>
                <c:ptCount val="3"/>
                <c:pt idx="0">
                  <c:v>DCF Value at 11.0x-15.0x Exit EBITDA Range at 9.0% WACC</c:v>
                </c:pt>
                <c:pt idx="1">
                  <c:v>DCF Value at 2.0%-4.0% Perpetuity Range at 9.0% WACC</c:v>
                </c:pt>
                <c:pt idx="2">
                  <c:v>52 Week Market High/Low</c:v>
                </c:pt>
              </c:strCache>
            </c:strRef>
          </c:cat>
          <c:val>
            <c:numRef>
              <c:f>'Integrated DCF Empty'!$E$128:$E$130</c:f>
              <c:numCache>
                <c:formatCode>#,##0.00_);\(#,##0.00\)</c:formatCode>
                <c:ptCount val="3"/>
                <c:pt idx="0">
                  <c:v>20.680633001583054</c:v>
                </c:pt>
                <c:pt idx="1">
                  <c:v>20.680633001583054</c:v>
                </c:pt>
                <c:pt idx="2">
                  <c:v>327.85</c:v>
                </c:pt>
              </c:numCache>
            </c:numRef>
          </c:val>
          <c:extLst>
            <c:ext xmlns:c16="http://schemas.microsoft.com/office/drawing/2014/chart" uri="{C3380CC4-5D6E-409C-BE32-E72D297353CC}">
              <c16:uniqueId val="{00000002-6BDC-4DAE-A363-87946DD62F59}"/>
            </c:ext>
          </c:extLst>
        </c:ser>
        <c:dLbls>
          <c:showLegendKey val="0"/>
          <c:showVal val="0"/>
          <c:showCatName val="0"/>
          <c:showSerName val="0"/>
          <c:showPercent val="0"/>
          <c:showBubbleSize val="0"/>
        </c:dLbls>
        <c:gapWidth val="150"/>
        <c:overlap val="100"/>
        <c:axId val="99639680"/>
        <c:axId val="99641216"/>
      </c:barChart>
      <c:catAx>
        <c:axId val="99639680"/>
        <c:scaling>
          <c:orientation val="minMax"/>
        </c:scaling>
        <c:delete val="0"/>
        <c:axPos val="b"/>
        <c:numFmt formatCode="General" sourceLinked="0"/>
        <c:majorTickMark val="out"/>
        <c:minorTickMark val="none"/>
        <c:tickLblPos val="nextTo"/>
        <c:crossAx val="99641216"/>
        <c:crosses val="autoZero"/>
        <c:auto val="1"/>
        <c:lblAlgn val="ctr"/>
        <c:lblOffset val="100"/>
        <c:noMultiLvlLbl val="0"/>
      </c:catAx>
      <c:valAx>
        <c:axId val="99641216"/>
        <c:scaling>
          <c:orientation val="minMax"/>
          <c:max val="400"/>
          <c:min val="100"/>
        </c:scaling>
        <c:delete val="0"/>
        <c:axPos val="l"/>
        <c:numFmt formatCode="#,##0.00_);\(#,##0.00\)" sourceLinked="1"/>
        <c:majorTickMark val="out"/>
        <c:minorTickMark val="none"/>
        <c:tickLblPos val="nextTo"/>
        <c:crossAx val="99639680"/>
        <c:crosses val="autoZero"/>
        <c:crossBetween val="between"/>
      </c:valAx>
    </c:plotArea>
    <c:plotVisOnly val="1"/>
    <c:dispBlanksAs val="gap"/>
    <c:showDLblsOverMax val="0"/>
  </c:chart>
  <c:spPr>
    <a:ln>
      <a:noFill/>
    </a:ln>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lang="en-US" sz="1100"/>
              <a:t>LTM EBITDA Multiple Range</a:t>
            </a:r>
          </a:p>
        </c:rich>
      </c:tx>
      <c:layout>
        <c:manualLayout>
          <c:xMode val="edge"/>
          <c:yMode val="edge"/>
          <c:x val="0.31291626892699836"/>
          <c:y val="0"/>
        </c:manualLayout>
      </c:layout>
      <c:overlay val="0"/>
    </c:title>
    <c:autoTitleDeleted val="0"/>
    <c:plotArea>
      <c:layout/>
      <c:barChart>
        <c:barDir val="col"/>
        <c:grouping val="stacked"/>
        <c:varyColors val="0"/>
        <c:ser>
          <c:idx val="0"/>
          <c:order val="0"/>
          <c:spPr>
            <a:noFill/>
          </c:spPr>
          <c:invertIfNegative val="0"/>
          <c:dLbls>
            <c:numFmt formatCode="#,##0.0\x;\-#,##0.0\x" sourceLinked="0"/>
            <c:spPr>
              <a:noFill/>
              <a:ln>
                <a:noFill/>
              </a:ln>
              <a:effectLst/>
            </c:sp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'Integrated DCF Empty'!$G$128:$G$130</c:f>
              <c:strCache>
                <c:ptCount val="3"/>
                <c:pt idx="0">
                  <c:v>LTM EBITDA Purchase Multiple at 2.0%-4.0% Perpetuity Growth at 9.0% WACC</c:v>
                </c:pt>
                <c:pt idx="1">
                  <c:v>#DIV/0!</c:v>
                </c:pt>
                <c:pt idx="2">
                  <c:v>LTM EBITDA Purchase Multiple at 7.0%-11.0% WACC at 13.0x Exit EBITDA</c:v>
                </c:pt>
              </c:strCache>
            </c:strRef>
          </c:cat>
          <c:val>
            <c:numRef>
              <c:f>'Integrated DCF Empty'!$O$128:$O$130</c:f>
              <c:numCache>
                <c:formatCode>#,##0.00_);\(#,##0.00\)</c:formatCode>
                <c:ptCount val="3"/>
                <c:pt idx="0">
                  <c:v>0</c:v>
                </c:pt>
                <c:pt idx="1">
                  <c:v>0</c:v>
                </c:pt>
                <c:pt idx="2">
                  <c:v>0</c:v>
                </c:pt>
              </c:numCache>
            </c:numRef>
          </c:val>
          <c:extLst>
            <c:ext xmlns:c16="http://schemas.microsoft.com/office/drawing/2014/chart" uri="{C3380CC4-5D6E-409C-BE32-E72D297353CC}">
              <c16:uniqueId val="{00000000-0C14-428A-8230-A8B0D26511CD}"/>
            </c:ext>
          </c:extLst>
        </c:ser>
        <c:ser>
          <c:idx val="1"/>
          <c:order val="1"/>
          <c:spPr>
            <a:solidFill>
              <a:schemeClr val="tx2"/>
            </a:solidFill>
          </c:spPr>
          <c:invertIfNegative val="0"/>
          <c:cat>
            <c:strRef>
              <c:f>'Integrated DCF Empty'!$G$128:$G$130</c:f>
              <c:strCache>
                <c:ptCount val="3"/>
                <c:pt idx="0">
                  <c:v>LTM EBITDA Purchase Multiple at 2.0%-4.0% Perpetuity Growth at 9.0% WACC</c:v>
                </c:pt>
                <c:pt idx="1">
                  <c:v>#DIV/0!</c:v>
                </c:pt>
                <c:pt idx="2">
                  <c:v>LTM EBITDA Purchase Multiple at 7.0%-11.0% WACC at 13.0x Exit EBITDA</c:v>
                </c:pt>
              </c:strCache>
            </c:strRef>
          </c:cat>
          <c:val>
            <c:numRef>
              <c:f>'Integrated DCF Empty'!$P$128:$P$130</c:f>
              <c:numCache>
                <c:formatCode>#,##0.00_);\(#,##0.00\)</c:formatCode>
                <c:ptCount val="3"/>
                <c:pt idx="0">
                  <c:v>0</c:v>
                </c:pt>
                <c:pt idx="1">
                  <c:v>0</c:v>
                </c:pt>
                <c:pt idx="2">
                  <c:v>0</c:v>
                </c:pt>
              </c:numCache>
            </c:numRef>
          </c:val>
          <c:extLst>
            <c:ext xmlns:c16="http://schemas.microsoft.com/office/drawing/2014/chart" uri="{C3380CC4-5D6E-409C-BE32-E72D297353CC}">
              <c16:uniqueId val="{00000001-0C14-428A-8230-A8B0D26511CD}"/>
            </c:ext>
          </c:extLst>
        </c:ser>
        <c:ser>
          <c:idx val="2"/>
          <c:order val="2"/>
          <c:spPr>
            <a:noFill/>
          </c:spPr>
          <c:invertIfNegative val="0"/>
          <c:dLbls>
            <c:numFmt formatCode="#,##0.0\x;\-#,##0.0\x" sourceLinked="0"/>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'Integrated DCF Empty'!$G$128:$G$130</c:f>
              <c:strCache>
                <c:ptCount val="3"/>
                <c:pt idx="0">
                  <c:v>LTM EBITDA Purchase Multiple at 2.0%-4.0% Perpetuity Growth at 9.0% WACC</c:v>
                </c:pt>
                <c:pt idx="1">
                  <c:v>#DIV/0!</c:v>
                </c:pt>
                <c:pt idx="2">
                  <c:v>LTM EBITDA Purchase Multiple at 7.0%-11.0% WACC at 13.0x Exit EBITDA</c:v>
                </c:pt>
              </c:strCache>
            </c:strRef>
          </c:cat>
          <c:val>
            <c:numRef>
              <c:f>'Integrated DCF Empty'!$Q$128:$Q$130</c:f>
              <c:numCache>
                <c:formatCode>#,##0.00_);\(#,##0.00\)</c:formatCode>
                <c:ptCount val="3"/>
                <c:pt idx="0">
                  <c:v>0</c:v>
                </c:pt>
                <c:pt idx="1">
                  <c:v>0</c:v>
                </c:pt>
                <c:pt idx="2">
                  <c:v>0</c:v>
                </c:pt>
              </c:numCache>
            </c:numRef>
          </c:val>
          <c:extLst>
            <c:ext xmlns:c16="http://schemas.microsoft.com/office/drawing/2014/chart" uri="{C3380CC4-5D6E-409C-BE32-E72D297353CC}">
              <c16:uniqueId val="{00000002-0C14-428A-8230-A8B0D26511CD}"/>
            </c:ext>
          </c:extLst>
        </c:ser>
        <c:dLbls>
          <c:showLegendKey val="0"/>
          <c:showVal val="0"/>
          <c:showCatName val="0"/>
          <c:showSerName val="0"/>
          <c:showPercent val="0"/>
          <c:showBubbleSize val="0"/>
        </c:dLbls>
        <c:gapWidth val="150"/>
        <c:overlap val="100"/>
        <c:axId val="99639680"/>
        <c:axId val="99641216"/>
      </c:barChart>
      <c:catAx>
        <c:axId val="99639680"/>
        <c:scaling>
          <c:orientation val="minMax"/>
        </c:scaling>
        <c:delete val="0"/>
        <c:axPos val="b"/>
        <c:numFmt formatCode="General" sourceLinked="0"/>
        <c:majorTickMark val="out"/>
        <c:minorTickMark val="none"/>
        <c:tickLblPos val="nextTo"/>
        <c:crossAx val="99641216"/>
        <c:crosses val="autoZero"/>
        <c:auto val="1"/>
        <c:lblAlgn val="ctr"/>
        <c:lblOffset val="100"/>
        <c:noMultiLvlLbl val="0"/>
      </c:catAx>
      <c:valAx>
        <c:axId val="99641216"/>
        <c:scaling>
          <c:orientation val="minMax"/>
          <c:max val="20"/>
          <c:min val="10"/>
        </c:scaling>
        <c:delete val="0"/>
        <c:axPos val="l"/>
        <c:numFmt formatCode="#,##0.0\x;\-#,##0.0\x" sourceLinked="0"/>
        <c:majorTickMark val="out"/>
        <c:minorTickMark val="none"/>
        <c:tickLblPos val="nextTo"/>
        <c:crossAx val="99639680"/>
        <c:crosses val="autoZero"/>
        <c:crossBetween val="between"/>
      </c:valAx>
    </c:plotArea>
    <c:plotVisOnly val="1"/>
    <c:dispBlanksAs val="gap"/>
    <c:showDLblsOverMax val="0"/>
  </c:chart>
  <c:spPr>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lang="en-US" sz="1100"/>
              <a:t>DCF Equity Valuation Range </a:t>
            </a:r>
          </a:p>
        </c:rich>
      </c:tx>
      <c:layout>
        <c:manualLayout>
          <c:xMode val="edge"/>
          <c:yMode val="edge"/>
          <c:x val="0.31291626892699836"/>
          <c:y val="0"/>
        </c:manualLayout>
      </c:layout>
      <c:overlay val="0"/>
    </c:title>
    <c:autoTitleDeleted val="0"/>
    <c:plotArea>
      <c:layout/>
      <c:barChart>
        <c:barDir val="col"/>
        <c:grouping val="stacked"/>
        <c:varyColors val="0"/>
        <c:ser>
          <c:idx val="0"/>
          <c:order val="0"/>
          <c:spPr>
            <a:noFill/>
          </c:spPr>
          <c:invertIfNegative val="0"/>
          <c:dLbls>
            <c:spPr>
              <a:noFill/>
              <a:ln>
                <a:noFill/>
              </a:ln>
              <a:effectLst/>
            </c:sp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'Integrated DCF'!$B$128:$B$130</c:f>
              <c:strCache>
                <c:ptCount val="3"/>
                <c:pt idx="0">
                  <c:v>DCF Value at 11.0x-15.0x Exit EBITDA Range at 9.0% WACC</c:v>
                </c:pt>
                <c:pt idx="1">
                  <c:v>DCF Value at 2.0%-4.0% Perpetuity Range at 9.0% WACC</c:v>
                </c:pt>
                <c:pt idx="2">
                  <c:v>52 Week Market High/Low</c:v>
                </c:pt>
              </c:strCache>
            </c:strRef>
          </c:cat>
          <c:val>
            <c:numRef>
              <c:f>'Integrated DCF'!$C$128:$C$130</c:f>
              <c:numCache>
                <c:formatCode>#,##0.00_);\(#,##0.00\)</c:formatCode>
                <c:ptCount val="3"/>
                <c:pt idx="0">
                  <c:v>234.18244617024146</c:v>
                </c:pt>
                <c:pt idx="1">
                  <c:v>229.67451002601129</c:v>
                </c:pt>
                <c:pt idx="2">
                  <c:v>169.5</c:v>
                </c:pt>
              </c:numCache>
            </c:numRef>
          </c:val>
          <c:extLst>
            <c:ext xmlns:c16="http://schemas.microsoft.com/office/drawing/2014/chart" uri="{C3380CC4-5D6E-409C-BE32-E72D297353CC}">
              <c16:uniqueId val="{00000000-071E-4AF6-9F21-34B270AA9C7F}"/>
            </c:ext>
          </c:extLst>
        </c:ser>
        <c:ser>
          <c:idx val="1"/>
          <c:order val="1"/>
          <c:invertIfNegative val="0"/>
          <c:cat>
            <c:strRef>
              <c:f>'Integrated DCF'!$B$128:$B$130</c:f>
              <c:strCache>
                <c:ptCount val="3"/>
                <c:pt idx="0">
                  <c:v>DCF Value at 11.0x-15.0x Exit EBITDA Range at 9.0% WACC</c:v>
                </c:pt>
                <c:pt idx="1">
                  <c:v>DCF Value at 2.0%-4.0% Perpetuity Range at 9.0% WACC</c:v>
                </c:pt>
                <c:pt idx="2">
                  <c:v>52 Week Market High/Low</c:v>
                </c:pt>
              </c:strCache>
            </c:strRef>
          </c:cat>
          <c:val>
            <c:numRef>
              <c:f>'Integrated DCF'!$D$128:$D$130</c:f>
              <c:numCache>
                <c:formatCode>#,##0.00_);\(#,##0.00\)</c:formatCode>
                <c:ptCount val="3"/>
                <c:pt idx="0">
                  <c:v>59.053939159871163</c:v>
                </c:pt>
                <c:pt idx="1">
                  <c:v>67.490404797844263</c:v>
                </c:pt>
                <c:pt idx="2">
                  <c:v>158.35000000000002</c:v>
                </c:pt>
              </c:numCache>
            </c:numRef>
          </c:val>
          <c:extLst>
            <c:ext xmlns:c16="http://schemas.microsoft.com/office/drawing/2014/chart" uri="{C3380CC4-5D6E-409C-BE32-E72D297353CC}">
              <c16:uniqueId val="{00000001-071E-4AF6-9F21-34B270AA9C7F}"/>
            </c:ext>
          </c:extLst>
        </c:ser>
        <c:ser>
          <c:idx val="2"/>
          <c:order val="2"/>
          <c:spPr>
            <a:noFill/>
          </c:spPr>
          <c:invertIfNegative val="0"/>
          <c:dLbls>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'Integrated DCF'!$B$128:$B$130</c:f>
              <c:strCache>
                <c:ptCount val="3"/>
                <c:pt idx="0">
                  <c:v>DCF Value at 11.0x-15.0x Exit EBITDA Range at 9.0% WACC</c:v>
                </c:pt>
                <c:pt idx="1">
                  <c:v>DCF Value at 2.0%-4.0% Perpetuity Range at 9.0% WACC</c:v>
                </c:pt>
                <c:pt idx="2">
                  <c:v>52 Week Market High/Low</c:v>
                </c:pt>
              </c:strCache>
            </c:strRef>
          </c:cat>
          <c:val>
            <c:numRef>
              <c:f>'Integrated DCF'!$E$128:$E$130</c:f>
              <c:numCache>
                <c:formatCode>#,##0.00_);\(#,##0.00\)</c:formatCode>
                <c:ptCount val="3"/>
                <c:pt idx="0">
                  <c:v>293.23638533011263</c:v>
                </c:pt>
                <c:pt idx="1">
                  <c:v>297.16491482385555</c:v>
                </c:pt>
                <c:pt idx="2">
                  <c:v>327.85</c:v>
                </c:pt>
              </c:numCache>
            </c:numRef>
          </c:val>
          <c:extLst>
            <c:ext xmlns:c16="http://schemas.microsoft.com/office/drawing/2014/chart" uri="{C3380CC4-5D6E-409C-BE32-E72D297353CC}">
              <c16:uniqueId val="{00000002-071E-4AF6-9F21-34B270AA9C7F}"/>
            </c:ext>
          </c:extLst>
        </c:ser>
        <c:dLbls>
          <c:showLegendKey val="0"/>
          <c:showVal val="0"/>
          <c:showCatName val="0"/>
          <c:showSerName val="0"/>
          <c:showPercent val="0"/>
          <c:showBubbleSize val="0"/>
        </c:dLbls>
        <c:gapWidth val="150"/>
        <c:overlap val="100"/>
        <c:axId val="99639680"/>
        <c:axId val="99641216"/>
      </c:barChart>
      <c:catAx>
        <c:axId val="99639680"/>
        <c:scaling>
          <c:orientation val="minMax"/>
        </c:scaling>
        <c:delete val="0"/>
        <c:axPos val="b"/>
        <c:numFmt formatCode="General" sourceLinked="0"/>
        <c:majorTickMark val="out"/>
        <c:minorTickMark val="none"/>
        <c:tickLblPos val="nextTo"/>
        <c:crossAx val="99641216"/>
        <c:crosses val="autoZero"/>
        <c:auto val="1"/>
        <c:lblAlgn val="ctr"/>
        <c:lblOffset val="100"/>
        <c:noMultiLvlLbl val="0"/>
      </c:catAx>
      <c:valAx>
        <c:axId val="99641216"/>
        <c:scaling>
          <c:orientation val="minMax"/>
          <c:max val="400"/>
          <c:min val="100"/>
        </c:scaling>
        <c:delete val="0"/>
        <c:axPos val="l"/>
        <c:numFmt formatCode="#,##0.00_);\(#,##0.00\)" sourceLinked="1"/>
        <c:majorTickMark val="out"/>
        <c:minorTickMark val="none"/>
        <c:tickLblPos val="nextTo"/>
        <c:crossAx val="99639680"/>
        <c:crosses val="autoZero"/>
        <c:crossBetween val="between"/>
      </c:valAx>
    </c:plotArea>
    <c:plotVisOnly val="1"/>
    <c:dispBlanksAs val="gap"/>
    <c:showDLblsOverMax val="0"/>
  </c:chart>
  <c:spPr>
    <a:ln>
      <a:noFill/>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_rels/drawing3.xml.rels><?xml version="1.0" encoding="UTF-8" standalone="yes"?>
<Relationships xmlns="http://schemas.openxmlformats.org/package/2006/relationships"><Relationship Id="rId3" Type="http://schemas.openxmlformats.org/officeDocument/2006/relationships/customXml" Target="../ink/ink1.xml"/><Relationship Id="rId2" Type="http://schemas.openxmlformats.org/officeDocument/2006/relationships/chart" Target="../charts/chart6.xml"/><Relationship Id="rId1" Type="http://schemas.openxmlformats.org/officeDocument/2006/relationships/chart" Target="../charts/chart5.xml"/><Relationship Id="rId4"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5.xml.rels><?xml version="1.0" encoding="UTF-8" standalone="yes"?>
<Relationships xmlns="http://schemas.openxmlformats.org/package/2006/relationships"><Relationship Id="rId2" Type="http://schemas.openxmlformats.org/officeDocument/2006/relationships/chart" Target="../charts/chart10.xml"/><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1</xdr:col>
      <xdr:colOff>53578</xdr:colOff>
      <xdr:row>100</xdr:row>
      <xdr:rowOff>149424</xdr:rowOff>
    </xdr:from>
    <xdr:to>
      <xdr:col>4</xdr:col>
      <xdr:colOff>654844</xdr:colOff>
      <xdr:row>119</xdr:row>
      <xdr:rowOff>53578</xdr:rowOff>
    </xdr:to>
    <xdr:graphicFrame macro="">
      <xdr:nvGraphicFramePr>
        <xdr:cNvPr id="2" name="Chart 1">
          <a:extLst>
            <a:ext uri="{FF2B5EF4-FFF2-40B4-BE49-F238E27FC236}">
              <a16:creationId xmlns:a16="http://schemas.microsoft.com/office/drawing/2014/main" id="{E8717E2E-A6F3-43BE-A7EA-D996FDB5B8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47228</xdr:colOff>
      <xdr:row>100</xdr:row>
      <xdr:rowOff>149424</xdr:rowOff>
    </xdr:from>
    <xdr:to>
      <xdr:col>15</xdr:col>
      <xdr:colOff>657225</xdr:colOff>
      <xdr:row>119</xdr:row>
      <xdr:rowOff>47228</xdr:rowOff>
    </xdr:to>
    <xdr:graphicFrame macro="">
      <xdr:nvGraphicFramePr>
        <xdr:cNvPr id="3" name="Chart 2">
          <a:extLst>
            <a:ext uri="{FF2B5EF4-FFF2-40B4-BE49-F238E27FC236}">
              <a16:creationId xmlns:a16="http://schemas.microsoft.com/office/drawing/2014/main" id="{B7942816-A017-490B-8B0D-44DDBFD46E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53578</xdr:colOff>
      <xdr:row>100</xdr:row>
      <xdr:rowOff>149424</xdr:rowOff>
    </xdr:from>
    <xdr:to>
      <xdr:col>4</xdr:col>
      <xdr:colOff>654844</xdr:colOff>
      <xdr:row>119</xdr:row>
      <xdr:rowOff>53578</xdr:rowOff>
    </xdr:to>
    <xdr:graphicFrame macro="">
      <xdr:nvGraphicFramePr>
        <xdr:cNvPr id="2" name="Chart 1">
          <a:extLst>
            <a:ext uri="{FF2B5EF4-FFF2-40B4-BE49-F238E27FC236}">
              <a16:creationId xmlns:a16="http://schemas.microsoft.com/office/drawing/2014/main" id="{0F751E8B-7172-46A3-B4B2-F0869464FA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47228</xdr:colOff>
      <xdr:row>100</xdr:row>
      <xdr:rowOff>149424</xdr:rowOff>
    </xdr:from>
    <xdr:to>
      <xdr:col>15</xdr:col>
      <xdr:colOff>657225</xdr:colOff>
      <xdr:row>119</xdr:row>
      <xdr:rowOff>47228</xdr:rowOff>
    </xdr:to>
    <xdr:graphicFrame macro="">
      <xdr:nvGraphicFramePr>
        <xdr:cNvPr id="3" name="Chart 2">
          <a:extLst>
            <a:ext uri="{FF2B5EF4-FFF2-40B4-BE49-F238E27FC236}">
              <a16:creationId xmlns:a16="http://schemas.microsoft.com/office/drawing/2014/main" id="{48377B4F-CDFC-4919-A19B-896BB28D59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53578</xdr:colOff>
      <xdr:row>100</xdr:row>
      <xdr:rowOff>149424</xdr:rowOff>
    </xdr:from>
    <xdr:to>
      <xdr:col>4</xdr:col>
      <xdr:colOff>654844</xdr:colOff>
      <xdr:row>119</xdr:row>
      <xdr:rowOff>53578</xdr:rowOff>
    </xdr:to>
    <xdr:graphicFrame macro="">
      <xdr:nvGraphicFramePr>
        <xdr:cNvPr id="2" name="Chart 1">
          <a:extLst>
            <a:ext uri="{FF2B5EF4-FFF2-40B4-BE49-F238E27FC236}">
              <a16:creationId xmlns:a16="http://schemas.microsoft.com/office/drawing/2014/main" id="{9978A5D2-4787-4C4C-9082-7E6AE56B12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47228</xdr:colOff>
      <xdr:row>100</xdr:row>
      <xdr:rowOff>149424</xdr:rowOff>
    </xdr:from>
    <xdr:to>
      <xdr:col>15</xdr:col>
      <xdr:colOff>657225</xdr:colOff>
      <xdr:row>119</xdr:row>
      <xdr:rowOff>47228</xdr:rowOff>
    </xdr:to>
    <xdr:graphicFrame macro="">
      <xdr:nvGraphicFramePr>
        <xdr:cNvPr id="3" name="Chart 2">
          <a:extLst>
            <a:ext uri="{FF2B5EF4-FFF2-40B4-BE49-F238E27FC236}">
              <a16:creationId xmlns:a16="http://schemas.microsoft.com/office/drawing/2014/main" id="{73667175-8E6D-4138-B007-7431C796C0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xdr:col>
      <xdr:colOff>158892</xdr:colOff>
      <xdr:row>52</xdr:row>
      <xdr:rowOff>24873</xdr:rowOff>
    </xdr:from>
    <xdr:to>
      <xdr:col>1</xdr:col>
      <xdr:colOff>161052</xdr:colOff>
      <xdr:row>52</xdr:row>
      <xdr:rowOff>39633</xdr:rowOff>
    </xdr:to>
    <mc:AlternateContent xmlns:mc="http://schemas.openxmlformats.org/markup-compatibility/2006" xmlns:xdr14="http://schemas.microsoft.com/office/excel/2010/spreadsheetDrawing">
      <mc:Choice Requires="xdr14">
        <xdr:contentPart xmlns:r="http://schemas.openxmlformats.org/officeDocument/2006/relationships" r:id="rId3">
          <xdr14:nvContentPartPr>
            <xdr14:cNvPr id="4" name="Ink 3">
              <a:extLst>
                <a:ext uri="{FF2B5EF4-FFF2-40B4-BE49-F238E27FC236}">
                  <a16:creationId xmlns:a16="http://schemas.microsoft.com/office/drawing/2014/main" id="{4B41F823-46A7-41E1-8EF3-D118193619F5}"/>
                </a:ext>
              </a:extLst>
            </xdr14:cNvPr>
            <xdr14:cNvContentPartPr/>
          </xdr14:nvContentPartPr>
          <xdr14:nvPr macro=""/>
          <xdr14:xfrm>
            <a:off x="400680" y="10004142"/>
            <a:ext cx="2160" cy="14760"/>
          </xdr14:xfrm>
        </xdr:contentPart>
      </mc:Choice>
      <mc:Fallback xmlns="">
        <xdr:pic>
          <xdr:nvPicPr>
            <xdr:cNvPr id="4" name="Ink 3">
              <a:extLst>
                <a:ext uri="{FF2B5EF4-FFF2-40B4-BE49-F238E27FC236}">
                  <a16:creationId xmlns:a16="http://schemas.microsoft.com/office/drawing/2014/main" id="{4B41F823-46A7-41E1-8EF3-D118193619F5}"/>
                </a:ext>
              </a:extLst>
            </xdr:cNvPr>
            <xdr:cNvPicPr/>
          </xdr:nvPicPr>
          <xdr:blipFill>
            <a:blip xmlns:r="http://schemas.openxmlformats.org/officeDocument/2006/relationships" r:embed="rId4"/>
            <a:stretch>
              <a:fillRect/>
            </a:stretch>
          </xdr:blipFill>
          <xdr:spPr>
            <a:xfrm>
              <a:off x="391680" y="9995502"/>
              <a:ext cx="19800" cy="32400"/>
            </a:xfrm>
            <a:prstGeom prst="rect">
              <a:avLst/>
            </a:prstGeom>
          </xdr:spPr>
        </xdr:pic>
      </mc:Fallback>
    </mc:AlternateContent>
    <xdr:clientData/>
  </xdr:twoCellAnchor>
</xdr:wsDr>
</file>

<file path=xl/drawings/drawing4.xml><?xml version="1.0" encoding="utf-8"?>
<xdr:wsDr xmlns:xdr="http://schemas.openxmlformats.org/drawingml/2006/spreadsheetDrawing" xmlns:a="http://schemas.openxmlformats.org/drawingml/2006/main">
  <xdr:twoCellAnchor>
    <xdr:from>
      <xdr:col>1</xdr:col>
      <xdr:colOff>53578</xdr:colOff>
      <xdr:row>106</xdr:row>
      <xdr:rowOff>149424</xdr:rowOff>
    </xdr:from>
    <xdr:to>
      <xdr:col>4</xdr:col>
      <xdr:colOff>654844</xdr:colOff>
      <xdr:row>125</xdr:row>
      <xdr:rowOff>53578</xdr:rowOff>
    </xdr:to>
    <xdr:graphicFrame macro="">
      <xdr:nvGraphicFramePr>
        <xdr:cNvPr id="2" name="Chart 1">
          <a:extLst>
            <a:ext uri="{FF2B5EF4-FFF2-40B4-BE49-F238E27FC236}">
              <a16:creationId xmlns:a16="http://schemas.microsoft.com/office/drawing/2014/main" id="{5BF19C24-3E19-4795-908E-C7B7BA134E9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47228</xdr:colOff>
      <xdr:row>106</xdr:row>
      <xdr:rowOff>149424</xdr:rowOff>
    </xdr:from>
    <xdr:to>
      <xdr:col>15</xdr:col>
      <xdr:colOff>657225</xdr:colOff>
      <xdr:row>125</xdr:row>
      <xdr:rowOff>47228</xdr:rowOff>
    </xdr:to>
    <xdr:graphicFrame macro="">
      <xdr:nvGraphicFramePr>
        <xdr:cNvPr id="3" name="Chart 2">
          <a:extLst>
            <a:ext uri="{FF2B5EF4-FFF2-40B4-BE49-F238E27FC236}">
              <a16:creationId xmlns:a16="http://schemas.microsoft.com/office/drawing/2014/main" id="{2D74F777-6CE2-438A-A3B4-69556C4201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53578</xdr:colOff>
      <xdr:row>106</xdr:row>
      <xdr:rowOff>149424</xdr:rowOff>
    </xdr:from>
    <xdr:to>
      <xdr:col>4</xdr:col>
      <xdr:colOff>654844</xdr:colOff>
      <xdr:row>125</xdr:row>
      <xdr:rowOff>53578</xdr:rowOff>
    </xdr:to>
    <xdr:graphicFrame macro="">
      <xdr:nvGraphicFramePr>
        <xdr:cNvPr id="2" name="Chart 1">
          <a:extLst>
            <a:ext uri="{FF2B5EF4-FFF2-40B4-BE49-F238E27FC236}">
              <a16:creationId xmlns:a16="http://schemas.microsoft.com/office/drawing/2014/main" id="{BDA90297-6CA9-4733-A880-D8AD387F97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47228</xdr:colOff>
      <xdr:row>106</xdr:row>
      <xdr:rowOff>149424</xdr:rowOff>
    </xdr:from>
    <xdr:to>
      <xdr:col>15</xdr:col>
      <xdr:colOff>657225</xdr:colOff>
      <xdr:row>125</xdr:row>
      <xdr:rowOff>47228</xdr:rowOff>
    </xdr:to>
    <xdr:graphicFrame macro="">
      <xdr:nvGraphicFramePr>
        <xdr:cNvPr id="3" name="Chart 2">
          <a:extLst>
            <a:ext uri="{FF2B5EF4-FFF2-40B4-BE49-F238E27FC236}">
              <a16:creationId xmlns:a16="http://schemas.microsoft.com/office/drawing/2014/main" id="{F5267622-0F74-4AB4-93A8-DF9204EA9A2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ink/ink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0-03-20T15:14:21.508"/>
    </inkml:context>
    <inkml:brush xml:id="br0">
      <inkml:brushProperty name="width" value="0.05" units="cm"/>
      <inkml:brushProperty name="height" value="0.05" units="cm"/>
    </inkml:brush>
  </inkml:definitions>
  <inkml:trace contextRef="#ctx0" brushRef="#br0">4 41 4852,'1'-4'3528,"0"-13"-1279,-3 1-7071,-2 13 3607</inkml:trace>
</inkm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4.xml"/><Relationship Id="rId1" Type="http://schemas.openxmlformats.org/officeDocument/2006/relationships/printerSettings" Target="../printerSettings/printerSettings9.bin"/><Relationship Id="rId4" Type="http://schemas.openxmlformats.org/officeDocument/2006/relationships/comments" Target="../comments9.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5.xml"/><Relationship Id="rId1" Type="http://schemas.openxmlformats.org/officeDocument/2006/relationships/printerSettings" Target="../printerSettings/printerSettings10.bin"/><Relationship Id="rId4" Type="http://schemas.openxmlformats.org/officeDocument/2006/relationships/comments" Target="../comments10.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3.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9.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D94DC3-B589-4317-BD10-A056D9EE3ADE}">
  <sheetPr>
    <tabColor theme="2"/>
  </sheetPr>
  <dimension ref="B1:I19"/>
  <sheetViews>
    <sheetView zoomScaleNormal="100" workbookViewId="0">
      <selection activeCell="E8" sqref="E8"/>
    </sheetView>
  </sheetViews>
  <sheetFormatPr defaultColWidth="8.81640625" defaultRowHeight="14.5"/>
  <cols>
    <col min="1" max="1" width="1.453125" customWidth="1"/>
    <col min="2" max="2" width="43.453125" bestFit="1" customWidth="1"/>
    <col min="3" max="3" width="8.453125" bestFit="1" customWidth="1"/>
    <col min="4" max="9" width="9.453125" customWidth="1"/>
  </cols>
  <sheetData>
    <row r="1" spans="2:9" ht="15" thickBot="1"/>
    <row r="2" spans="2:9" ht="15" thickBot="1">
      <c r="B2" s="52" t="s">
        <v>372</v>
      </c>
      <c r="C2" s="41"/>
      <c r="D2" s="41"/>
      <c r="E2" s="41"/>
      <c r="F2" s="41"/>
      <c r="G2" s="41"/>
      <c r="H2" s="41"/>
      <c r="I2" s="41"/>
    </row>
    <row r="3" spans="2:9">
      <c r="B3" s="338" t="s">
        <v>380</v>
      </c>
    </row>
    <row r="5" spans="2:9" ht="16">
      <c r="D5" s="139" t="s">
        <v>263</v>
      </c>
      <c r="E5" s="139" t="s">
        <v>107</v>
      </c>
      <c r="F5" s="139"/>
      <c r="G5" s="139"/>
      <c r="H5" s="139"/>
      <c r="I5" s="139"/>
    </row>
    <row r="6" spans="2:9">
      <c r="B6" t="s">
        <v>348</v>
      </c>
      <c r="D6" s="92">
        <v>2019</v>
      </c>
      <c r="E6" s="92">
        <f>D6+1</f>
        <v>2020</v>
      </c>
      <c r="F6" s="92">
        <f t="shared" ref="F6:I6" si="0">E6+1</f>
        <v>2021</v>
      </c>
      <c r="G6" s="92">
        <f t="shared" si="0"/>
        <v>2022</v>
      </c>
      <c r="H6" s="92">
        <f t="shared" si="0"/>
        <v>2023</v>
      </c>
      <c r="I6" s="92">
        <f t="shared" si="0"/>
        <v>2024</v>
      </c>
    </row>
    <row r="7" spans="2:9">
      <c r="D7" s="13"/>
      <c r="E7" s="13"/>
      <c r="F7" s="13"/>
      <c r="G7" s="13"/>
      <c r="H7" s="13"/>
      <c r="I7" s="13"/>
    </row>
    <row r="8" spans="2:9">
      <c r="B8" s="13" t="s">
        <v>346</v>
      </c>
      <c r="C8" s="13"/>
      <c r="D8" s="280">
        <v>260174</v>
      </c>
      <c r="E8" s="27">
        <f>D8*(1+E9)</f>
        <v>280987.92000000004</v>
      </c>
      <c r="F8" s="27">
        <f t="shared" ref="F8:I8" si="1">E8*(1+F9)</f>
        <v>306276.83280000009</v>
      </c>
      <c r="G8" s="27">
        <f t="shared" si="1"/>
        <v>324653.44276800012</v>
      </c>
      <c r="H8" s="27">
        <f t="shared" si="1"/>
        <v>344132.64933408017</v>
      </c>
      <c r="I8" s="27">
        <f t="shared" si="1"/>
        <v>364780.60829412501</v>
      </c>
    </row>
    <row r="9" spans="2:9">
      <c r="B9" s="17" t="s">
        <v>347</v>
      </c>
      <c r="C9" s="17"/>
      <c r="E9" s="102">
        <v>0.08</v>
      </c>
      <c r="F9" s="102">
        <v>0.09</v>
      </c>
      <c r="G9" s="102">
        <v>0.06</v>
      </c>
      <c r="H9" s="102">
        <v>0.06</v>
      </c>
      <c r="I9" s="102">
        <v>0.06</v>
      </c>
    </row>
    <row r="10" spans="2:9">
      <c r="B10" s="13" t="s">
        <v>307</v>
      </c>
      <c r="C10" s="13"/>
      <c r="D10" s="280">
        <v>76477</v>
      </c>
      <c r="E10" s="27">
        <f>E11*E$8</f>
        <v>81486.496800000008</v>
      </c>
      <c r="F10" s="27">
        <f t="shared" ref="F10:I10" si="2">F11*F$8</f>
        <v>88820.281512000016</v>
      </c>
      <c r="G10" s="27">
        <f t="shared" si="2"/>
        <v>92526.231188880032</v>
      </c>
      <c r="H10" s="27">
        <f t="shared" si="2"/>
        <v>98077.805060212835</v>
      </c>
      <c r="I10" s="27">
        <f t="shared" si="2"/>
        <v>102138.57032235501</v>
      </c>
    </row>
    <row r="11" spans="2:9">
      <c r="B11" s="17" t="s">
        <v>253</v>
      </c>
      <c r="C11" s="17"/>
      <c r="E11" s="102">
        <v>0.28999999999999998</v>
      </c>
      <c r="F11" s="102">
        <v>0.28999999999999998</v>
      </c>
      <c r="G11" s="102">
        <v>0.28499999999999998</v>
      </c>
      <c r="H11" s="102">
        <v>0.28499999999999998</v>
      </c>
      <c r="I11" s="102">
        <v>0.28000000000000003</v>
      </c>
    </row>
    <row r="12" spans="2:9">
      <c r="B12" s="13" t="s">
        <v>201</v>
      </c>
      <c r="C12" s="13"/>
      <c r="D12" s="280">
        <v>63930</v>
      </c>
      <c r="E12" s="27">
        <f>E13*E$8</f>
        <v>69123.028320000012</v>
      </c>
      <c r="F12" s="27">
        <f t="shared" ref="F12:I12" si="3">F13*F$8</f>
        <v>76569.208200000023</v>
      </c>
      <c r="G12" s="27">
        <f t="shared" si="3"/>
        <v>81163.360692000031</v>
      </c>
      <c r="H12" s="27">
        <f t="shared" si="3"/>
        <v>87753.825580190445</v>
      </c>
      <c r="I12" s="27">
        <f t="shared" si="3"/>
        <v>91195.152073531252</v>
      </c>
    </row>
    <row r="13" spans="2:9">
      <c r="B13" s="17" t="s">
        <v>253</v>
      </c>
      <c r="C13" s="17"/>
      <c r="E13" s="102">
        <v>0.246</v>
      </c>
      <c r="F13" s="102">
        <v>0.25</v>
      </c>
      <c r="G13" s="102">
        <v>0.25</v>
      </c>
      <c r="H13" s="102">
        <v>0.255</v>
      </c>
      <c r="I13" s="102">
        <v>0.25</v>
      </c>
    </row>
    <row r="14" spans="2:9">
      <c r="E14" s="15"/>
      <c r="F14" s="15"/>
      <c r="G14" s="15"/>
      <c r="H14" s="15"/>
      <c r="I14" s="15"/>
    </row>
    <row r="15" spans="2:9">
      <c r="B15" t="s">
        <v>0</v>
      </c>
      <c r="E15" s="19">
        <v>0.158</v>
      </c>
      <c r="F15" s="19">
        <v>0.16600000000000001</v>
      </c>
      <c r="G15" s="19">
        <v>0.16700000000000001</v>
      </c>
      <c r="H15" s="19">
        <v>0.17299999999999999</v>
      </c>
      <c r="I15" s="19">
        <v>0.17299999999999999</v>
      </c>
    </row>
    <row r="16" spans="2:9">
      <c r="B16" t="s">
        <v>345</v>
      </c>
      <c r="E16" s="102">
        <f>D16</f>
        <v>0</v>
      </c>
      <c r="F16" s="102">
        <v>3.9E-2</v>
      </c>
      <c r="G16" s="102">
        <v>3.7999999999999999E-2</v>
      </c>
      <c r="H16" s="102">
        <v>3.6999999999999998E-2</v>
      </c>
      <c r="I16" s="102">
        <v>3.5999999999999997E-2</v>
      </c>
    </row>
    <row r="18" spans="2:9">
      <c r="B18" t="s">
        <v>275</v>
      </c>
      <c r="D18" s="104">
        <f>22926+4106+22878+12352-46236-37720-5522</f>
        <v>-27216</v>
      </c>
    </row>
    <row r="19" spans="2:9">
      <c r="B19" s="17" t="s">
        <v>126</v>
      </c>
      <c r="D19" s="91">
        <f>D18/D8</f>
        <v>-0.10460691690945291</v>
      </c>
      <c r="E19" s="102">
        <f>D19</f>
        <v>-0.10460691690945291</v>
      </c>
      <c r="F19" s="102">
        <f t="shared" ref="F19:I19" si="4">E19</f>
        <v>-0.10460691690945291</v>
      </c>
      <c r="G19" s="102">
        <f t="shared" si="4"/>
        <v>-0.10460691690945291</v>
      </c>
      <c r="H19" s="102">
        <f t="shared" si="4"/>
        <v>-0.10460691690945291</v>
      </c>
      <c r="I19" s="102">
        <f t="shared" si="4"/>
        <v>-0.10460691690945291</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9AB94D-48F7-410C-8872-519CA5981829}">
  <sheetPr>
    <tabColor theme="4"/>
  </sheetPr>
  <dimension ref="B1:Q132"/>
  <sheetViews>
    <sheetView zoomScale="115" zoomScaleNormal="115" workbookViewId="0"/>
  </sheetViews>
  <sheetFormatPr defaultColWidth="9.08984375" defaultRowHeight="14.5"/>
  <cols>
    <col min="1" max="1" width="1.453125" customWidth="1"/>
    <col min="2" max="2" width="54.453125" customWidth="1"/>
    <col min="3" max="3" width="13.453125" customWidth="1"/>
    <col min="4" max="9" width="12.6328125" customWidth="1"/>
    <col min="10" max="10" width="1.81640625" customWidth="1"/>
    <col min="11" max="11" width="12.08984375" bestFit="1" customWidth="1"/>
    <col min="12" max="16" width="9.453125" customWidth="1"/>
  </cols>
  <sheetData>
    <row r="1" spans="2:10" ht="15" thickBot="1"/>
    <row r="2" spans="2:10" ht="15" thickBot="1">
      <c r="B2" s="52" t="s">
        <v>316</v>
      </c>
      <c r="C2" s="41"/>
      <c r="D2" s="41"/>
      <c r="E2" s="41"/>
      <c r="F2" s="41"/>
      <c r="G2" s="41"/>
      <c r="H2" s="41"/>
      <c r="I2" s="41"/>
    </row>
    <row r="3" spans="2:10">
      <c r="B3" s="337" t="str">
        <f>'Financials '!$B$3</f>
        <v xml:space="preserve">$ and shares in millions, except per share data </v>
      </c>
    </row>
    <row r="4" spans="2:10">
      <c r="B4" t="s">
        <v>318</v>
      </c>
      <c r="D4" s="118">
        <v>43736</v>
      </c>
      <c r="F4" t="s">
        <v>198</v>
      </c>
      <c r="H4" s="93">
        <f>'WACC Done'!E21</f>
        <v>7.7864310730353978E-2</v>
      </c>
      <c r="I4" t="s">
        <v>322</v>
      </c>
    </row>
    <row r="5" spans="2:10">
      <c r="B5" t="s">
        <v>319</v>
      </c>
      <c r="D5" s="117">
        <f>EOMONTH(D4,12)</f>
        <v>44104</v>
      </c>
      <c r="F5" t="s">
        <v>317</v>
      </c>
      <c r="H5" s="119">
        <v>273.52</v>
      </c>
      <c r="I5" t="s">
        <v>199</v>
      </c>
    </row>
    <row r="6" spans="2:10">
      <c r="B6" t="s">
        <v>320</v>
      </c>
      <c r="D6" s="118">
        <v>43827</v>
      </c>
      <c r="F6" t="s">
        <v>342</v>
      </c>
      <c r="H6" s="218">
        <v>43888</v>
      </c>
      <c r="J6" s="193"/>
    </row>
    <row r="7" spans="2:10">
      <c r="B7" t="s">
        <v>321</v>
      </c>
      <c r="D7" s="118">
        <v>43889</v>
      </c>
      <c r="F7" t="s">
        <v>350</v>
      </c>
      <c r="H7" s="210">
        <v>0</v>
      </c>
      <c r="I7" s="193"/>
      <c r="J7" s="193"/>
    </row>
    <row r="8" spans="2:10">
      <c r="B8" t="s">
        <v>197</v>
      </c>
      <c r="D8" s="91">
        <f>YEARFRAC(D7,D5)</f>
        <v>0.58888888888888891</v>
      </c>
    </row>
    <row r="9" spans="2:10">
      <c r="D9" s="120"/>
      <c r="F9" t="s">
        <v>200</v>
      </c>
      <c r="H9" s="120" t="str">
        <f>'2019 FSM Update Complete'!L5</f>
        <v>Base case</v>
      </c>
    </row>
    <row r="10" spans="2:10">
      <c r="B10" s="92" t="s">
        <v>265</v>
      </c>
      <c r="C10" s="56"/>
      <c r="D10" s="234"/>
      <c r="F10" s="56"/>
      <c r="G10" s="56"/>
      <c r="H10" s="56"/>
      <c r="I10" s="56"/>
    </row>
    <row r="11" spans="2:10" ht="17.25" customHeight="1">
      <c r="C11" s="139" t="s">
        <v>266</v>
      </c>
      <c r="D11" s="139" t="s">
        <v>263</v>
      </c>
      <c r="E11" s="246" t="s">
        <v>264</v>
      </c>
      <c r="F11" s="139"/>
      <c r="G11" s="139"/>
      <c r="H11" s="139"/>
      <c r="I11" s="139"/>
    </row>
    <row r="12" spans="2:10">
      <c r="B12" s="10" t="s">
        <v>338</v>
      </c>
      <c r="C12" s="222">
        <f>D7</f>
        <v>43889</v>
      </c>
      <c r="D12" s="190">
        <f>D4</f>
        <v>43736</v>
      </c>
      <c r="E12" s="243">
        <f>EOMONTH(D12,12)</f>
        <v>44104</v>
      </c>
      <c r="F12" s="191">
        <f>EOMONTH(E12,12)</f>
        <v>44469</v>
      </c>
      <c r="G12" s="191">
        <f t="shared" ref="G12:I12" si="0">EOMONTH(F12,12)</f>
        <v>44834</v>
      </c>
      <c r="H12" s="191">
        <f t="shared" si="0"/>
        <v>45199</v>
      </c>
      <c r="I12" s="191">
        <f t="shared" si="0"/>
        <v>45565</v>
      </c>
    </row>
    <row r="13" spans="2:10">
      <c r="B13" s="10"/>
      <c r="D13" s="180"/>
      <c r="E13" s="179"/>
      <c r="F13" s="179"/>
      <c r="G13" s="179"/>
      <c r="H13" s="179"/>
      <c r="I13" s="179"/>
    </row>
    <row r="14" spans="2:10">
      <c r="B14" t="s">
        <v>11</v>
      </c>
      <c r="C14" s="248"/>
      <c r="D14" s="330"/>
      <c r="E14" s="331"/>
      <c r="F14" s="331"/>
      <c r="G14" s="331"/>
      <c r="H14" s="331"/>
      <c r="I14" s="331"/>
    </row>
    <row r="15" spans="2:10">
      <c r="B15" s="17" t="s">
        <v>154</v>
      </c>
      <c r="D15" s="182"/>
      <c r="E15" s="245"/>
      <c r="F15" s="245"/>
      <c r="G15" s="245"/>
      <c r="H15" s="245"/>
      <c r="I15" s="245"/>
    </row>
    <row r="16" spans="2:10">
      <c r="B16" t="s">
        <v>45</v>
      </c>
      <c r="C16" s="248"/>
      <c r="D16" s="330"/>
      <c r="E16" s="331"/>
      <c r="F16" s="331"/>
      <c r="G16" s="331"/>
      <c r="H16" s="331"/>
      <c r="I16" s="331"/>
    </row>
    <row r="17" spans="2:13">
      <c r="B17" s="17" t="s">
        <v>253</v>
      </c>
      <c r="D17" s="250"/>
      <c r="E17" s="245"/>
      <c r="F17" s="245"/>
      <c r="G17" s="245"/>
      <c r="H17" s="245"/>
      <c r="I17" s="245"/>
    </row>
    <row r="18" spans="2:13">
      <c r="B18" t="s">
        <v>201</v>
      </c>
      <c r="C18" s="248"/>
      <c r="D18" s="330"/>
      <c r="E18" s="331"/>
      <c r="F18" s="331"/>
      <c r="G18" s="331"/>
      <c r="H18" s="331"/>
      <c r="I18" s="331"/>
    </row>
    <row r="19" spans="2:13">
      <c r="B19" s="17" t="s">
        <v>253</v>
      </c>
      <c r="D19" s="250"/>
      <c r="E19" s="245"/>
      <c r="F19" s="245"/>
      <c r="G19" s="245"/>
      <c r="H19" s="245"/>
      <c r="I19" s="245"/>
    </row>
    <row r="20" spans="2:13">
      <c r="B20" s="17"/>
      <c r="D20" s="181"/>
      <c r="E20" s="105"/>
      <c r="F20" s="105"/>
      <c r="G20" s="105"/>
      <c r="H20" s="105"/>
      <c r="I20" s="105"/>
    </row>
    <row r="21" spans="2:13">
      <c r="B21" t="s">
        <v>341</v>
      </c>
      <c r="D21" s="253"/>
      <c r="E21" s="248"/>
      <c r="F21" s="248"/>
      <c r="G21" s="248"/>
      <c r="H21" s="248"/>
      <c r="I21" s="248"/>
    </row>
    <row r="22" spans="2:13" ht="15" customHeight="1">
      <c r="B22" s="17" t="s">
        <v>0</v>
      </c>
      <c r="D22" s="332"/>
      <c r="E22" s="332"/>
      <c r="F22" s="315"/>
      <c r="G22" s="315"/>
      <c r="H22" s="315"/>
      <c r="I22" s="315"/>
    </row>
    <row r="23" spans="2:13">
      <c r="B23" s="13" t="s">
        <v>276</v>
      </c>
      <c r="C23" s="13"/>
      <c r="D23" s="333"/>
      <c r="E23" s="254"/>
      <c r="F23" s="254"/>
      <c r="G23" s="254"/>
      <c r="H23" s="254"/>
      <c r="I23" s="254"/>
    </row>
    <row r="24" spans="2:13">
      <c r="D24" s="125"/>
      <c r="E24" s="125"/>
      <c r="F24" s="125"/>
      <c r="G24" s="125"/>
      <c r="H24" s="125"/>
      <c r="I24" s="125"/>
    </row>
    <row r="25" spans="2:13">
      <c r="B25" t="s">
        <v>47</v>
      </c>
      <c r="D25" s="331"/>
      <c r="E25" s="331"/>
      <c r="F25" s="331"/>
      <c r="G25" s="331"/>
      <c r="H25" s="331"/>
      <c r="I25" s="331"/>
      <c r="M25" s="96"/>
    </row>
    <row r="26" spans="2:13">
      <c r="B26" t="s">
        <v>202</v>
      </c>
      <c r="D26" s="125"/>
      <c r="E26" s="248"/>
      <c r="F26" s="248"/>
      <c r="G26" s="248"/>
      <c r="H26" s="248"/>
      <c r="I26" s="248"/>
      <c r="M26" s="96"/>
    </row>
    <row r="27" spans="2:13">
      <c r="B27" t="s">
        <v>34</v>
      </c>
      <c r="D27" s="105"/>
      <c r="E27" s="331"/>
      <c r="F27" s="331"/>
      <c r="G27" s="331"/>
      <c r="H27" s="331"/>
      <c r="I27" s="331"/>
      <c r="M27" s="96"/>
    </row>
    <row r="28" spans="2:13">
      <c r="B28" s="17" t="s">
        <v>126</v>
      </c>
      <c r="D28" s="105"/>
      <c r="E28" s="245"/>
      <c r="F28" s="245"/>
      <c r="G28" s="245"/>
      <c r="H28" s="245"/>
      <c r="I28" s="245"/>
      <c r="M28" s="96"/>
    </row>
    <row r="29" spans="2:13">
      <c r="D29" s="105"/>
      <c r="E29" s="105"/>
      <c r="F29" s="105"/>
      <c r="G29" s="105"/>
      <c r="H29" s="105"/>
      <c r="I29" s="105"/>
      <c r="M29" s="96"/>
    </row>
    <row r="30" spans="2:13">
      <c r="B30" s="13" t="s">
        <v>344</v>
      </c>
      <c r="C30" s="13"/>
      <c r="D30" s="124"/>
      <c r="E30" s="254"/>
      <c r="F30" s="254"/>
      <c r="G30" s="254"/>
      <c r="H30" s="254"/>
      <c r="I30" s="254"/>
      <c r="M30" s="124"/>
    </row>
    <row r="31" spans="2:13">
      <c r="D31" s="105"/>
      <c r="M31" s="96"/>
    </row>
    <row r="32" spans="2:13">
      <c r="B32" t="s">
        <v>275</v>
      </c>
      <c r="D32" s="331"/>
      <c r="E32" s="331"/>
      <c r="F32" s="331"/>
      <c r="G32" s="331"/>
      <c r="H32" s="331"/>
      <c r="I32" s="331"/>
    </row>
    <row r="33" spans="2:13" ht="15" customHeight="1">
      <c r="B33" s="17" t="s">
        <v>126</v>
      </c>
      <c r="D33" s="91"/>
      <c r="E33" s="245"/>
      <c r="F33" s="245"/>
      <c r="G33" s="245"/>
      <c r="H33" s="245"/>
      <c r="I33" s="245"/>
      <c r="J33" s="105"/>
    </row>
    <row r="34" spans="2:13">
      <c r="D34" s="105"/>
      <c r="E34" s="91"/>
      <c r="F34" s="91"/>
      <c r="G34" s="91"/>
      <c r="H34" s="91"/>
      <c r="I34" s="91"/>
      <c r="J34" s="105"/>
      <c r="K34" s="23"/>
      <c r="M34" s="91"/>
    </row>
    <row r="35" spans="2:13">
      <c r="B35" s="92" t="str">
        <f>"Present value of UFCF on "&amp;TEXT(D7,"mmm dd, yyyy")&amp;" valuation date"</f>
        <v>Present value of UFCF on Feb 28, 2020 valuation date</v>
      </c>
      <c r="C35" s="56"/>
      <c r="D35" s="209"/>
      <c r="E35" s="56"/>
      <c r="F35" s="209"/>
      <c r="G35" s="209"/>
      <c r="H35" s="209"/>
      <c r="I35" s="209"/>
      <c r="J35" s="105"/>
    </row>
    <row r="36" spans="2:13" ht="16">
      <c r="B36" s="13"/>
      <c r="D36" s="213" t="s">
        <v>269</v>
      </c>
      <c r="E36" s="213" t="s">
        <v>274</v>
      </c>
      <c r="F36" s="214" t="s">
        <v>270</v>
      </c>
      <c r="G36" s="214" t="s">
        <v>271</v>
      </c>
      <c r="H36" s="214" t="s">
        <v>272</v>
      </c>
      <c r="I36" s="214" t="s">
        <v>273</v>
      </c>
      <c r="J36" s="105"/>
    </row>
    <row r="37" spans="2:13">
      <c r="B37" t="s">
        <v>267</v>
      </c>
      <c r="D37" s="122">
        <f>D7</f>
        <v>43889</v>
      </c>
      <c r="E37" s="122">
        <f>IF($H$7=1,AVERAGE(E12,D37),E12)</f>
        <v>44104</v>
      </c>
      <c r="F37" s="122">
        <f>IF($H$7=1,AVERAGE(F12,E12),F12)</f>
        <v>44469</v>
      </c>
      <c r="G37" s="122">
        <f>IF($H$7=1,AVERAGE(G12,F12),G12)</f>
        <v>44834</v>
      </c>
      <c r="H37" s="122">
        <f>IF($H$7=1,AVERAGE(H12,G12),H12)</f>
        <v>45199</v>
      </c>
      <c r="I37" s="122">
        <f>IF($H$7=1,AVERAGE(I12,H12),I12)</f>
        <v>45565</v>
      </c>
      <c r="J37" s="105"/>
    </row>
    <row r="38" spans="2:13">
      <c r="B38" t="s">
        <v>268</v>
      </c>
      <c r="C38" s="211">
        <f>D8</f>
        <v>0.58888888888888891</v>
      </c>
      <c r="D38" s="96"/>
      <c r="E38" s="212">
        <f>E30*C38</f>
        <v>0</v>
      </c>
      <c r="F38" s="212">
        <f>F30</f>
        <v>0</v>
      </c>
      <c r="G38" s="212">
        <f>G30</f>
        <v>0</v>
      </c>
      <c r="H38" s="212">
        <f>H30</f>
        <v>0</v>
      </c>
      <c r="I38" s="212">
        <f>I30</f>
        <v>0</v>
      </c>
      <c r="J38" s="125"/>
      <c r="K38" t="s">
        <v>203</v>
      </c>
    </row>
    <row r="39" spans="2:13" ht="15" customHeight="1">
      <c r="B39" s="13" t="s">
        <v>254</v>
      </c>
      <c r="C39" s="72"/>
      <c r="D39" s="124"/>
      <c r="E39" s="124">
        <f>E38/(1+$H$4)^((E37-$D$7)/365)</f>
        <v>0</v>
      </c>
      <c r="F39" s="124">
        <f>F38/(1+$H$4)^((F37-$D$7)/365)</f>
        <v>0</v>
      </c>
      <c r="G39" s="124">
        <f>G38/(1+$H$4)^((G37-$D$7)/365)</f>
        <v>0</v>
      </c>
      <c r="H39" s="124">
        <f>H38/(1+$H$4)^((H37-$D$7)/365)</f>
        <v>0</v>
      </c>
      <c r="I39" s="124">
        <f>I38/(1+$H$4)^((I37-$D$7)/365)</f>
        <v>0</v>
      </c>
      <c r="J39" s="125"/>
    </row>
    <row r="41" spans="2:13">
      <c r="B41" s="92" t="s">
        <v>204</v>
      </c>
      <c r="C41" s="92"/>
      <c r="E41" s="92" t="s">
        <v>205</v>
      </c>
      <c r="F41" s="56"/>
      <c r="G41" s="56"/>
      <c r="H41" s="56"/>
      <c r="I41" s="56"/>
    </row>
    <row r="42" spans="2:13">
      <c r="B42" t="s">
        <v>206</v>
      </c>
      <c r="C42" s="102">
        <v>0.03</v>
      </c>
      <c r="E42" t="s">
        <v>261</v>
      </c>
      <c r="I42" s="96">
        <f>I16</f>
        <v>0</v>
      </c>
      <c r="J42" s="96"/>
    </row>
    <row r="43" spans="2:13">
      <c r="B43" s="129" t="str">
        <f>YEAR(I12)&amp;" FCF x (1+g)"</f>
        <v>2024 FCF x (1+g)</v>
      </c>
      <c r="C43" s="96">
        <f>I38*(1+C42)</f>
        <v>0</v>
      </c>
      <c r="E43" t="s">
        <v>207</v>
      </c>
      <c r="I43" s="187">
        <v>12.5154387291762</v>
      </c>
      <c r="J43" s="187"/>
    </row>
    <row r="44" spans="2:13">
      <c r="B44" t="str">
        <f>"Terminal value in "&amp;YEAR(I12)</f>
        <v>Terminal value in 2024</v>
      </c>
      <c r="C44" s="96">
        <f>C43/(H4-C42)</f>
        <v>0</v>
      </c>
      <c r="E44" t="str">
        <f>"Terminal value in "&amp;YEAR(I12)</f>
        <v>Terminal value in 2024</v>
      </c>
      <c r="I44" s="96">
        <f>I42*I43</f>
        <v>0</v>
      </c>
      <c r="J44" s="96"/>
    </row>
    <row r="45" spans="2:13">
      <c r="B45" t="s">
        <v>258</v>
      </c>
      <c r="C45" s="96">
        <f>C44/(1+H4)^((I37-$D$37)/365)</f>
        <v>0</v>
      </c>
      <c r="E45" t="s">
        <v>258</v>
      </c>
      <c r="I45" s="96">
        <f>I44/(1+H4)^((I37-D37)/365)</f>
        <v>0</v>
      </c>
      <c r="J45" s="96"/>
    </row>
    <row r="46" spans="2:13">
      <c r="B46" t="s">
        <v>259</v>
      </c>
      <c r="C46" s="125">
        <f>SUM(E39:I39)</f>
        <v>0</v>
      </c>
      <c r="E46" t="s">
        <v>259</v>
      </c>
      <c r="I46" s="96">
        <f>C46</f>
        <v>0</v>
      </c>
      <c r="J46" s="96"/>
    </row>
    <row r="47" spans="2:13">
      <c r="B47" s="13" t="s">
        <v>256</v>
      </c>
      <c r="C47" s="123">
        <f>C46+C45</f>
        <v>0</v>
      </c>
      <c r="E47" s="13" t="s">
        <v>208</v>
      </c>
      <c r="I47" s="123">
        <f>SUM(I45:I46)</f>
        <v>0</v>
      </c>
      <c r="J47" s="123"/>
    </row>
    <row r="49" spans="2:11">
      <c r="B49" s="185" t="s">
        <v>255</v>
      </c>
      <c r="C49" s="130" t="e">
        <f>C45/$C$47</f>
        <v>#DIV/0!</v>
      </c>
      <c r="E49" s="185" t="s">
        <v>255</v>
      </c>
      <c r="I49" s="130" t="e">
        <f>+I45/I47</f>
        <v>#DIV/0!</v>
      </c>
      <c r="J49" s="130"/>
    </row>
    <row r="50" spans="2:11">
      <c r="B50" s="185" t="s">
        <v>260</v>
      </c>
      <c r="C50" s="130" t="e">
        <f>1-C49</f>
        <v>#DIV/0!</v>
      </c>
      <c r="E50" s="185" t="s">
        <v>257</v>
      </c>
      <c r="G50" s="131"/>
      <c r="I50" s="49" t="e">
        <f>1-I49</f>
        <v>#DIV/0!</v>
      </c>
      <c r="J50" s="49"/>
    </row>
    <row r="51" spans="2:11">
      <c r="B51" s="185" t="s">
        <v>210</v>
      </c>
      <c r="C51" s="186" t="e">
        <f>(C44/I16)</f>
        <v>#DIV/0!</v>
      </c>
      <c r="E51" t="s">
        <v>209</v>
      </c>
      <c r="I51" s="194" t="e">
        <f>(H4-I38/I44)/(1+I38/I44)</f>
        <v>#DIV/0!</v>
      </c>
      <c r="J51" s="194"/>
    </row>
    <row r="52" spans="2:11">
      <c r="B52" s="185"/>
      <c r="C52" s="10"/>
      <c r="D52" s="186"/>
      <c r="I52" s="194"/>
      <c r="J52" s="194"/>
    </row>
    <row r="53" spans="2:11">
      <c r="B53" s="92" t="s">
        <v>211</v>
      </c>
      <c r="C53" s="56"/>
      <c r="E53" s="92" t="s">
        <v>212</v>
      </c>
      <c r="F53" s="56"/>
      <c r="G53" s="92"/>
      <c r="H53" s="56"/>
      <c r="I53" s="56"/>
    </row>
    <row r="54" spans="2:11">
      <c r="B54" t="s">
        <v>326</v>
      </c>
      <c r="C54" s="218" t="s">
        <v>349</v>
      </c>
    </row>
    <row r="55" spans="2:11">
      <c r="B55" s="26" t="s">
        <v>312</v>
      </c>
      <c r="C55" s="122">
        <f>D6</f>
        <v>43827</v>
      </c>
      <c r="G55" s="16" t="s">
        <v>326</v>
      </c>
      <c r="H55" s="97" t="s">
        <v>234</v>
      </c>
      <c r="I55" s="97" t="s">
        <v>294</v>
      </c>
    </row>
    <row r="56" spans="2:11">
      <c r="B56" s="220" t="s">
        <v>298</v>
      </c>
      <c r="C56" s="132"/>
      <c r="E56" t="s">
        <v>311</v>
      </c>
      <c r="G56" s="218" t="s">
        <v>349</v>
      </c>
      <c r="H56" s="218">
        <v>43847</v>
      </c>
      <c r="I56" s="195">
        <v>4375.4799999999996</v>
      </c>
      <c r="J56" s="195"/>
    </row>
    <row r="57" spans="2:11">
      <c r="B57" s="17" t="s">
        <v>246</v>
      </c>
      <c r="C57" s="2">
        <f>4990+10224+93078</f>
        <v>108292</v>
      </c>
      <c r="E57" s="26" t="s">
        <v>295</v>
      </c>
      <c r="G57" s="218" t="s">
        <v>349</v>
      </c>
      <c r="H57" s="218">
        <v>43827</v>
      </c>
      <c r="I57" s="195">
        <v>96.02</v>
      </c>
      <c r="J57" s="196"/>
    </row>
    <row r="58" spans="2:11">
      <c r="B58" s="17" t="s">
        <v>291</v>
      </c>
      <c r="C58" s="231">
        <f>Shares!E25+Shares!E31</f>
        <v>0</v>
      </c>
      <c r="E58" s="26" t="s">
        <v>292</v>
      </c>
      <c r="G58" s="218"/>
      <c r="H58" s="218"/>
      <c r="I58" s="324">
        <f>Shares!E20</f>
        <v>50.595642000584959</v>
      </c>
      <c r="K58" t="s">
        <v>369</v>
      </c>
    </row>
    <row r="59" spans="2:11" ht="15" customHeight="1">
      <c r="B59" s="17" t="s">
        <v>297</v>
      </c>
      <c r="C59" s="231">
        <f>Shares!E34+Shares!E41</f>
        <v>0</v>
      </c>
      <c r="E59" t="s">
        <v>291</v>
      </c>
      <c r="G59" s="218"/>
      <c r="H59" s="218"/>
      <c r="I59" s="324">
        <f>Shares!E30</f>
        <v>58.171999999999997</v>
      </c>
      <c r="K59" t="s">
        <v>370</v>
      </c>
    </row>
    <row r="60" spans="2:11">
      <c r="B60" s="219" t="s">
        <v>302</v>
      </c>
      <c r="C60" s="2">
        <v>0</v>
      </c>
      <c r="E60" t="s">
        <v>293</v>
      </c>
      <c r="G60" s="218"/>
      <c r="H60" s="218"/>
      <c r="I60" s="324">
        <f>Shares!E40</f>
        <v>195.65</v>
      </c>
      <c r="K60" t="s">
        <v>371</v>
      </c>
    </row>
    <row r="61" spans="2:11" ht="15" customHeight="1">
      <c r="B61" s="220" t="s">
        <v>215</v>
      </c>
      <c r="E61" s="25" t="s">
        <v>216</v>
      </c>
      <c r="I61" s="199">
        <f>SUM(I56:I60)</f>
        <v>4775.9176420005842</v>
      </c>
      <c r="J61" s="197"/>
    </row>
    <row r="62" spans="2:11">
      <c r="B62" s="134" t="s">
        <v>301</v>
      </c>
      <c r="C62" s="2">
        <f>39771+67391+99899</f>
        <v>207061</v>
      </c>
      <c r="J62" s="133"/>
    </row>
    <row r="63" spans="2:11">
      <c r="B63" s="134" t="s">
        <v>299</v>
      </c>
      <c r="C63" s="2">
        <v>0</v>
      </c>
      <c r="J63" s="133"/>
    </row>
    <row r="64" spans="2:11">
      <c r="J64" s="198"/>
    </row>
    <row r="65" spans="2:6">
      <c r="B65" s="135" t="s">
        <v>211</v>
      </c>
      <c r="C65" s="27">
        <f>SUM(C57:C60)-SUM(C62:C63)</f>
        <v>-98769</v>
      </c>
    </row>
    <row r="67" spans="2:6">
      <c r="B67" s="92" t="s">
        <v>217</v>
      </c>
      <c r="C67" s="56"/>
      <c r="D67" s="56"/>
    </row>
    <row r="68" spans="2:6" ht="16">
      <c r="C68" s="225" t="s">
        <v>218</v>
      </c>
      <c r="D68" s="225" t="s">
        <v>45</v>
      </c>
    </row>
    <row r="69" spans="2:6">
      <c r="B69" t="s">
        <v>219</v>
      </c>
      <c r="C69" s="136">
        <f>C47</f>
        <v>0</v>
      </c>
      <c r="D69" s="136">
        <f>I47</f>
        <v>0</v>
      </c>
    </row>
    <row r="70" spans="2:6">
      <c r="B70" t="s">
        <v>211</v>
      </c>
      <c r="C70" s="189">
        <f>$C$65</f>
        <v>-98769</v>
      </c>
      <c r="D70" s="189">
        <f>C70</f>
        <v>-98769</v>
      </c>
    </row>
    <row r="71" spans="2:6">
      <c r="B71" t="s">
        <v>262</v>
      </c>
      <c r="C71" s="188">
        <f>C69-C70</f>
        <v>98769</v>
      </c>
      <c r="D71" s="188">
        <f>D69-D70</f>
        <v>98769</v>
      </c>
    </row>
    <row r="72" spans="2:6">
      <c r="B72" t="s">
        <v>212</v>
      </c>
      <c r="C72" s="188">
        <f>$I$61</f>
        <v>4775.9176420005842</v>
      </c>
      <c r="D72" s="188">
        <f>C72</f>
        <v>4775.9176420005842</v>
      </c>
    </row>
    <row r="73" spans="2:6">
      <c r="B73" s="13" t="s">
        <v>220</v>
      </c>
      <c r="C73" s="226">
        <f>C71/C72</f>
        <v>20.680633001583054</v>
      </c>
      <c r="D73" s="226">
        <f>D71/D72</f>
        <v>20.680633001583054</v>
      </c>
    </row>
    <row r="75" spans="2:6" ht="16">
      <c r="C75" s="139" t="s">
        <v>306</v>
      </c>
      <c r="D75" s="139"/>
    </row>
    <row r="76" spans="2:6">
      <c r="B76" s="16"/>
      <c r="C76" s="97" t="s">
        <v>218</v>
      </c>
      <c r="D76" s="97" t="s">
        <v>45</v>
      </c>
    </row>
    <row r="77" spans="2:6">
      <c r="B77" t="s">
        <v>308</v>
      </c>
      <c r="C77" s="275" t="e">
        <f t="shared" ref="C77" si="1">C$69/$C$14</f>
        <v>#DIV/0!</v>
      </c>
      <c r="D77" s="275" t="e">
        <f>D$69/$C$14</f>
        <v>#DIV/0!</v>
      </c>
    </row>
    <row r="78" spans="2:6">
      <c r="B78" t="s">
        <v>309</v>
      </c>
      <c r="C78" s="276" t="e">
        <f t="shared" ref="C78" si="2">C69/$C$16</f>
        <v>#DIV/0!</v>
      </c>
      <c r="D78" s="276" t="e">
        <f>D69/$C$16</f>
        <v>#DIV/0!</v>
      </c>
    </row>
    <row r="79" spans="2:6">
      <c r="B79" s="125" t="s">
        <v>310</v>
      </c>
      <c r="C79" s="276" t="e">
        <f t="shared" ref="C79" si="3">C69/$C$18</f>
        <v>#DIV/0!</v>
      </c>
      <c r="D79" s="276" t="e">
        <f>D69/$C$18</f>
        <v>#DIV/0!</v>
      </c>
    </row>
    <row r="80" spans="2:6" ht="16">
      <c r="B80" s="125"/>
      <c r="C80" s="139" t="s">
        <v>305</v>
      </c>
      <c r="D80" s="139"/>
      <c r="E80" s="228"/>
      <c r="F80" s="228"/>
    </row>
    <row r="81" spans="2:17">
      <c r="B81" s="16"/>
      <c r="C81" s="97" t="s">
        <v>218</v>
      </c>
      <c r="D81" s="97" t="s">
        <v>45</v>
      </c>
      <c r="E81" s="228"/>
      <c r="F81" s="228"/>
    </row>
    <row r="82" spans="2:17">
      <c r="B82" t="s">
        <v>308</v>
      </c>
      <c r="C82" s="227" t="e">
        <f>C69/$E$14</f>
        <v>#DIV/0!</v>
      </c>
      <c r="D82" s="227" t="e">
        <f>D69/$E$14</f>
        <v>#DIV/0!</v>
      </c>
      <c r="E82" s="228"/>
      <c r="F82" s="228"/>
    </row>
    <row r="83" spans="2:17">
      <c r="B83" t="s">
        <v>309</v>
      </c>
      <c r="C83" s="228" t="e">
        <f>C69/$E$16</f>
        <v>#DIV/0!</v>
      </c>
      <c r="D83" s="228" t="e">
        <f>D69/$E$16</f>
        <v>#DIV/0!</v>
      </c>
      <c r="E83" s="228"/>
      <c r="F83" s="228"/>
    </row>
    <row r="84" spans="2:17">
      <c r="B84" s="125" t="s">
        <v>310</v>
      </c>
      <c r="C84" s="228" t="e">
        <f>C69/$E$18</f>
        <v>#DIV/0!</v>
      </c>
      <c r="D84" s="228" t="e">
        <f>D69/$E$18</f>
        <v>#DIV/0!</v>
      </c>
      <c r="E84" s="228"/>
      <c r="F84" s="228"/>
    </row>
    <row r="86" spans="2:17">
      <c r="B86" s="92" t="s">
        <v>325</v>
      </c>
      <c r="C86" s="92"/>
      <c r="D86" s="92"/>
      <c r="E86" s="92"/>
      <c r="F86" s="92"/>
      <c r="G86" s="92"/>
      <c r="H86" s="92"/>
      <c r="I86" s="92"/>
      <c r="J86" s="92"/>
      <c r="K86" s="92"/>
      <c r="L86" s="92"/>
      <c r="M86" s="92"/>
      <c r="N86" s="92"/>
      <c r="O86" s="92"/>
      <c r="P86" s="92"/>
      <c r="Q86" s="92"/>
    </row>
    <row r="87" spans="2:17">
      <c r="B87" s="13"/>
    </row>
    <row r="88" spans="2:17" ht="17.25" customHeight="1">
      <c r="B88" s="237"/>
      <c r="C88" s="13"/>
      <c r="D88" s="138" t="s">
        <v>220</v>
      </c>
      <c r="E88" s="139"/>
      <c r="F88" s="139"/>
      <c r="G88" s="139"/>
      <c r="H88" s="139"/>
      <c r="I88" s="139"/>
      <c r="J88" s="200"/>
      <c r="L88" s="138" t="s">
        <v>300</v>
      </c>
      <c r="M88" s="139"/>
      <c r="N88" s="139"/>
      <c r="O88" s="139"/>
      <c r="P88" s="139"/>
      <c r="Q88" s="139"/>
    </row>
    <row r="89" spans="2:17" ht="15" customHeight="1">
      <c r="B89" s="237"/>
      <c r="D89" s="26"/>
      <c r="E89" s="94" t="s">
        <v>221</v>
      </c>
      <c r="F89" s="94"/>
      <c r="G89" s="94"/>
      <c r="H89" s="94"/>
      <c r="I89" s="94"/>
      <c r="J89" s="202"/>
      <c r="L89" s="26"/>
      <c r="M89" s="94"/>
      <c r="N89" s="94"/>
      <c r="O89" s="94"/>
      <c r="P89" s="94"/>
      <c r="Q89" s="94"/>
    </row>
    <row r="90" spans="2:17" ht="15" customHeight="1">
      <c r="B90" s="237"/>
      <c r="C90" s="95"/>
      <c r="D90" s="140">
        <f>C73</f>
        <v>20.680633001583054</v>
      </c>
      <c r="E90" s="141">
        <f>F90-0.005</f>
        <v>1.9999999999999997E-2</v>
      </c>
      <c r="F90" s="142">
        <f>G90-0.005</f>
        <v>2.4999999999999998E-2</v>
      </c>
      <c r="G90" s="143">
        <v>0.03</v>
      </c>
      <c r="H90" s="142">
        <f>G90+0.005</f>
        <v>3.4999999999999996E-2</v>
      </c>
      <c r="I90" s="142">
        <f>H90+0.005</f>
        <v>3.9999999999999994E-2</v>
      </c>
      <c r="J90" s="203"/>
      <c r="L90" s="145" t="e">
        <f>C78</f>
        <v>#DIV/0!</v>
      </c>
      <c r="M90" s="142">
        <f>N90-0.005</f>
        <v>1.9999999999999997E-2</v>
      </c>
      <c r="N90" s="142">
        <f>O90-0.005</f>
        <v>2.4999999999999998E-2</v>
      </c>
      <c r="O90" s="143">
        <v>0.03</v>
      </c>
      <c r="P90" s="142">
        <f>O90+0.005</f>
        <v>3.4999999999999996E-2</v>
      </c>
      <c r="Q90" s="144">
        <f>P90+0.005</f>
        <v>3.9999999999999994E-2</v>
      </c>
    </row>
    <row r="91" spans="2:17" ht="15" customHeight="1">
      <c r="B91" s="237"/>
      <c r="D91" s="146">
        <f>D92+0.01</f>
        <v>0.10999999999999999</v>
      </c>
      <c r="E91" s="147">
        <f t="dataTable" ref="E91:I95" dt2D="1" dtr="1" r1="C42" r2="H4"/>
        <v>20.680633001583054</v>
      </c>
      <c r="F91" s="147">
        <v>20.680633001583054</v>
      </c>
      <c r="G91" s="147">
        <v>20.680633001583054</v>
      </c>
      <c r="H91" s="147">
        <v>20.680633001583054</v>
      </c>
      <c r="I91" s="147">
        <v>20.680633001583054</v>
      </c>
      <c r="J91" s="204"/>
      <c r="L91" s="146">
        <f t="shared" ref="L91" si="4">L92+0.01</f>
        <v>0.10999999999999999</v>
      </c>
      <c r="M91" s="137" t="e">
        <f t="dataTable" ref="M91:Q95" dt2D="1" dtr="1" r1="C42" r2="H4" ca="1"/>
        <v>#DIV/0!</v>
      </c>
      <c r="N91" s="137" t="e">
        <v>#DIV/0!</v>
      </c>
      <c r="O91" s="137" t="e">
        <v>#DIV/0!</v>
      </c>
      <c r="P91" s="137" t="e">
        <v>#DIV/0!</v>
      </c>
      <c r="Q91" s="137" t="e">
        <v>#DIV/0!</v>
      </c>
    </row>
    <row r="92" spans="2:17" ht="15" customHeight="1">
      <c r="B92" s="237"/>
      <c r="D92" s="146">
        <f>D93+0.01</f>
        <v>9.9999999999999992E-2</v>
      </c>
      <c r="E92" s="147">
        <v>20.680633001583054</v>
      </c>
      <c r="F92" s="147">
        <v>20.680633001583054</v>
      </c>
      <c r="G92" s="147">
        <v>20.680633001583054</v>
      </c>
      <c r="H92" s="147">
        <v>20.680633001583054</v>
      </c>
      <c r="I92" s="147">
        <v>20.680633001583054</v>
      </c>
      <c r="J92" s="204"/>
      <c r="L92" s="146">
        <f>L93+0.01</f>
        <v>9.9999999999999992E-2</v>
      </c>
      <c r="M92" s="137" t="e">
        <v>#DIV/0!</v>
      </c>
      <c r="N92" s="137" t="e">
        <v>#DIV/0!</v>
      </c>
      <c r="O92" s="137" t="e">
        <v>#DIV/0!</v>
      </c>
      <c r="P92" s="137" t="e">
        <v>#DIV/0!</v>
      </c>
      <c r="Q92" s="137" t="e">
        <v>#DIV/0!</v>
      </c>
    </row>
    <row r="93" spans="2:17" ht="15" customHeight="1">
      <c r="B93" s="237"/>
      <c r="C93" s="95" t="s">
        <v>222</v>
      </c>
      <c r="D93" s="148">
        <v>0.09</v>
      </c>
      <c r="E93" s="147">
        <v>20.680633001583054</v>
      </c>
      <c r="F93" s="147">
        <v>20.680633001583054</v>
      </c>
      <c r="G93" s="147">
        <v>20.680633001583054</v>
      </c>
      <c r="H93" s="147">
        <v>20.680633001583054</v>
      </c>
      <c r="I93" s="147">
        <v>20.680633001583054</v>
      </c>
      <c r="J93" s="204"/>
      <c r="K93" s="95" t="s">
        <v>222</v>
      </c>
      <c r="L93" s="148">
        <v>0.09</v>
      </c>
      <c r="M93" s="137" t="e">
        <v>#DIV/0!</v>
      </c>
      <c r="N93" s="137" t="e">
        <v>#DIV/0!</v>
      </c>
      <c r="O93" s="137" t="e">
        <v>#DIV/0!</v>
      </c>
      <c r="P93" s="137" t="e">
        <v>#DIV/0!</v>
      </c>
      <c r="Q93" s="137" t="e">
        <v>#DIV/0!</v>
      </c>
    </row>
    <row r="94" spans="2:17" ht="15" customHeight="1">
      <c r="B94" s="237"/>
      <c r="D94" s="146">
        <f t="shared" ref="D94:D95" si="5">D93-0.01</f>
        <v>0.08</v>
      </c>
      <c r="E94" s="147">
        <v>20.680633001583054</v>
      </c>
      <c r="F94" s="147">
        <v>20.680633001583054</v>
      </c>
      <c r="G94" s="147">
        <v>20.680633001583054</v>
      </c>
      <c r="H94" s="147">
        <v>20.680633001583054</v>
      </c>
      <c r="I94" s="147">
        <v>20.680633001583054</v>
      </c>
      <c r="J94" s="204"/>
      <c r="L94" s="146">
        <f t="shared" ref="L94:L95" si="6">L93-0.01</f>
        <v>0.08</v>
      </c>
      <c r="M94" s="137" t="e">
        <v>#DIV/0!</v>
      </c>
      <c r="N94" s="137" t="e">
        <v>#DIV/0!</v>
      </c>
      <c r="O94" s="137" t="e">
        <v>#DIV/0!</v>
      </c>
      <c r="P94" s="137" t="e">
        <v>#DIV/0!</v>
      </c>
      <c r="Q94" s="137" t="e">
        <v>#DIV/0!</v>
      </c>
    </row>
    <row r="95" spans="2:17" ht="15" customHeight="1">
      <c r="B95" s="238" t="s">
        <v>223</v>
      </c>
      <c r="D95" s="149">
        <f t="shared" si="5"/>
        <v>7.0000000000000007E-2</v>
      </c>
      <c r="E95" s="147">
        <v>20.680633001583054</v>
      </c>
      <c r="F95" s="147">
        <v>20.680633001583054</v>
      </c>
      <c r="G95" s="147">
        <v>20.680633001583054</v>
      </c>
      <c r="H95" s="147">
        <v>20.680633001583054</v>
      </c>
      <c r="I95" s="147">
        <v>20.680633001583054</v>
      </c>
      <c r="J95" s="204"/>
      <c r="L95" s="149">
        <f t="shared" si="6"/>
        <v>7.0000000000000007E-2</v>
      </c>
      <c r="M95" s="137" t="e">
        <v>#DIV/0!</v>
      </c>
      <c r="N95" s="137" t="e">
        <v>#DIV/0!</v>
      </c>
      <c r="O95" s="137" t="e">
        <v>#DIV/0!</v>
      </c>
      <c r="P95" s="137" t="e">
        <v>#DIV/0!</v>
      </c>
      <c r="Q95" s="137" t="e">
        <v>#DIV/0!</v>
      </c>
    </row>
    <row r="96" spans="2:17" ht="15" customHeight="1">
      <c r="B96" s="238" t="s">
        <v>224</v>
      </c>
      <c r="E96" s="150"/>
      <c r="F96" s="150"/>
      <c r="G96" s="150"/>
      <c r="H96" s="150"/>
      <c r="I96" s="150"/>
      <c r="J96" s="205"/>
    </row>
    <row r="97" spans="2:17" ht="17.25" customHeight="1">
      <c r="B97" s="237"/>
      <c r="D97" s="138" t="s">
        <v>220</v>
      </c>
      <c r="E97" s="139"/>
      <c r="F97" s="139"/>
      <c r="G97" s="139"/>
      <c r="H97" s="139"/>
      <c r="I97" s="139"/>
      <c r="J97" s="200"/>
      <c r="L97" s="138" t="s">
        <v>300</v>
      </c>
      <c r="M97" s="139"/>
      <c r="N97" s="139"/>
      <c r="O97" s="139"/>
      <c r="P97" s="139"/>
      <c r="Q97" s="139"/>
    </row>
    <row r="98" spans="2:17" ht="15" customHeight="1">
      <c r="B98" s="237"/>
      <c r="E98" s="94" t="s">
        <v>225</v>
      </c>
      <c r="F98" s="94"/>
      <c r="G98" s="94"/>
      <c r="H98" s="94"/>
      <c r="I98" s="94"/>
      <c r="J98" s="202"/>
      <c r="M98" s="94" t="s">
        <v>225</v>
      </c>
      <c r="N98" s="94"/>
      <c r="O98" s="94"/>
      <c r="P98" s="94"/>
      <c r="Q98" s="94"/>
    </row>
    <row r="99" spans="2:17" ht="15" customHeight="1">
      <c r="B99" s="237"/>
      <c r="D99" s="151">
        <f>D73</f>
        <v>20.680633001583054</v>
      </c>
      <c r="E99" s="152">
        <f>F99-1</f>
        <v>11</v>
      </c>
      <c r="F99" s="152">
        <f>G99-1</f>
        <v>12</v>
      </c>
      <c r="G99" s="153">
        <v>13</v>
      </c>
      <c r="H99" s="152">
        <f>G99+1</f>
        <v>14</v>
      </c>
      <c r="I99" s="152">
        <f>H99+1</f>
        <v>15</v>
      </c>
      <c r="J99" s="206"/>
      <c r="L99" s="145" t="e">
        <f>D78</f>
        <v>#DIV/0!</v>
      </c>
      <c r="M99" s="152">
        <f>N99-1</f>
        <v>11</v>
      </c>
      <c r="N99" s="152">
        <f>O99-1</f>
        <v>12</v>
      </c>
      <c r="O99" s="153">
        <v>13</v>
      </c>
      <c r="P99" s="152">
        <f>O99+1</f>
        <v>14</v>
      </c>
      <c r="Q99" s="154">
        <f>P99+1</f>
        <v>15</v>
      </c>
    </row>
    <row r="100" spans="2:17" ht="15" customHeight="1">
      <c r="B100" s="237"/>
      <c r="D100" s="146">
        <f t="shared" ref="D100" si="7">D101+0.01</f>
        <v>0.10999999999999999</v>
      </c>
      <c r="E100" s="147">
        <f t="dataTable" ref="E100:I104" dt2D="1" dtr="1" r1="I43" r2="H4" ca="1"/>
        <v>20.680633001583054</v>
      </c>
      <c r="F100" s="147">
        <v>20.680633001583054</v>
      </c>
      <c r="G100" s="147">
        <v>20.680633001583054</v>
      </c>
      <c r="H100" s="147">
        <v>20.680633001583054</v>
      </c>
      <c r="I100" s="147">
        <v>20.680633001583054</v>
      </c>
      <c r="J100" s="204"/>
      <c r="L100" s="146">
        <f t="shared" ref="L100" si="8">L101+0.01</f>
        <v>0.10999999999999999</v>
      </c>
      <c r="M100" s="137" t="e">
        <f t="dataTable" ref="M100:Q104" dt2D="1" dtr="1" r1="I43" r2="H4" ca="1"/>
        <v>#DIV/0!</v>
      </c>
      <c r="N100" s="137" t="e">
        <v>#DIV/0!</v>
      </c>
      <c r="O100" s="137" t="e">
        <v>#DIV/0!</v>
      </c>
      <c r="P100" s="137" t="e">
        <v>#DIV/0!</v>
      </c>
      <c r="Q100" s="137" t="e">
        <v>#DIV/0!</v>
      </c>
    </row>
    <row r="101" spans="2:17" ht="15" customHeight="1">
      <c r="B101" s="237"/>
      <c r="D101" s="146">
        <f>D102+0.01</f>
        <v>9.9999999999999992E-2</v>
      </c>
      <c r="E101" s="147">
        <v>20.680633001583054</v>
      </c>
      <c r="F101" s="147">
        <v>20.680633001583054</v>
      </c>
      <c r="G101" s="147">
        <v>20.680633001583054</v>
      </c>
      <c r="H101" s="147">
        <v>20.680633001583054</v>
      </c>
      <c r="I101" s="147">
        <v>20.680633001583054</v>
      </c>
      <c r="J101" s="204"/>
      <c r="L101" s="146">
        <f>L102+0.01</f>
        <v>9.9999999999999992E-2</v>
      </c>
      <c r="M101" s="137" t="e">
        <v>#DIV/0!</v>
      </c>
      <c r="N101" s="137" t="e">
        <v>#DIV/0!</v>
      </c>
      <c r="O101" s="137" t="e">
        <v>#DIV/0!</v>
      </c>
      <c r="P101" s="137" t="e">
        <v>#DIV/0!</v>
      </c>
      <c r="Q101" s="137" t="e">
        <v>#DIV/0!</v>
      </c>
    </row>
    <row r="102" spans="2:17" ht="15" customHeight="1">
      <c r="B102" s="237"/>
      <c r="C102" s="95" t="s">
        <v>222</v>
      </c>
      <c r="D102" s="148">
        <v>0.09</v>
      </c>
      <c r="E102" s="147">
        <v>20.680633001583054</v>
      </c>
      <c r="F102" s="147">
        <v>20.680633001583054</v>
      </c>
      <c r="G102" s="147">
        <v>20.680633001583054</v>
      </c>
      <c r="H102" s="147">
        <v>20.680633001583054</v>
      </c>
      <c r="I102" s="147">
        <v>20.680633001583054</v>
      </c>
      <c r="J102" s="204"/>
      <c r="K102" s="95" t="s">
        <v>222</v>
      </c>
      <c r="L102" s="148">
        <v>0.09</v>
      </c>
      <c r="M102" s="137" t="e">
        <v>#DIV/0!</v>
      </c>
      <c r="N102" s="137" t="e">
        <v>#DIV/0!</v>
      </c>
      <c r="O102" s="137" t="e">
        <v>#DIV/0!</v>
      </c>
      <c r="P102" s="137" t="e">
        <v>#DIV/0!</v>
      </c>
      <c r="Q102" s="137" t="e">
        <v>#DIV/0!</v>
      </c>
    </row>
    <row r="103" spans="2:17" ht="15" customHeight="1">
      <c r="B103" s="237"/>
      <c r="D103" s="146">
        <f t="shared" ref="D103:D104" si="9">D102-0.01</f>
        <v>0.08</v>
      </c>
      <c r="E103" s="147">
        <v>20.680633001583054</v>
      </c>
      <c r="F103" s="147">
        <v>20.680633001583054</v>
      </c>
      <c r="G103" s="147">
        <v>20.680633001583054</v>
      </c>
      <c r="H103" s="147">
        <v>20.680633001583054</v>
      </c>
      <c r="I103" s="147">
        <v>20.680633001583054</v>
      </c>
      <c r="J103" s="204"/>
      <c r="L103" s="146">
        <f t="shared" ref="L103:L104" si="10">L102-0.01</f>
        <v>0.08</v>
      </c>
      <c r="M103" s="137" t="e">
        <v>#DIV/0!</v>
      </c>
      <c r="N103" s="137" t="e">
        <v>#DIV/0!</v>
      </c>
      <c r="O103" s="137" t="e">
        <v>#DIV/0!</v>
      </c>
      <c r="P103" s="137" t="e">
        <v>#DIV/0!</v>
      </c>
      <c r="Q103" s="137" t="e">
        <v>#DIV/0!</v>
      </c>
    </row>
    <row r="104" spans="2:17" ht="15" customHeight="1">
      <c r="B104" s="237"/>
      <c r="D104" s="149">
        <f t="shared" si="9"/>
        <v>7.0000000000000007E-2</v>
      </c>
      <c r="E104" s="147">
        <v>20.680633001583054</v>
      </c>
      <c r="F104" s="147">
        <v>20.680633001583054</v>
      </c>
      <c r="G104" s="147">
        <v>20.680633001583054</v>
      </c>
      <c r="H104" s="147">
        <v>20.680633001583054</v>
      </c>
      <c r="I104" s="147">
        <v>20.680633001583054</v>
      </c>
      <c r="J104" s="204"/>
      <c r="L104" s="149">
        <f t="shared" si="10"/>
        <v>7.0000000000000007E-2</v>
      </c>
      <c r="M104" s="137" t="e">
        <v>#DIV/0!</v>
      </c>
      <c r="N104" s="137" t="e">
        <v>#DIV/0!</v>
      </c>
      <c r="O104" s="137" t="e">
        <v>#DIV/0!</v>
      </c>
      <c r="P104" s="137" t="e">
        <v>#DIV/0!</v>
      </c>
      <c r="Q104" s="137" t="e">
        <v>#DIV/0!</v>
      </c>
    </row>
    <row r="105" spans="2:17">
      <c r="J105" s="90"/>
    </row>
    <row r="106" spans="2:17">
      <c r="B106" s="121" t="s">
        <v>226</v>
      </c>
      <c r="C106" s="121"/>
      <c r="D106" s="121"/>
      <c r="E106" s="121"/>
      <c r="G106" s="121" t="s">
        <v>227</v>
      </c>
      <c r="H106" s="121"/>
      <c r="I106" s="121"/>
      <c r="J106" s="201"/>
      <c r="K106" s="121"/>
      <c r="L106" s="121"/>
      <c r="M106" s="121"/>
      <c r="N106" s="121"/>
      <c r="O106" s="121"/>
      <c r="P106" s="121"/>
    </row>
    <row r="107" spans="2:17">
      <c r="J107" s="90"/>
    </row>
    <row r="108" spans="2:17">
      <c r="J108" s="90"/>
    </row>
    <row r="109" spans="2:17">
      <c r="J109" s="90"/>
    </row>
    <row r="110" spans="2:17">
      <c r="J110" s="90"/>
    </row>
    <row r="111" spans="2:17">
      <c r="J111" s="90"/>
    </row>
    <row r="112" spans="2:17">
      <c r="J112" s="90"/>
    </row>
    <row r="113" spans="2:17">
      <c r="J113" s="90"/>
    </row>
    <row r="114" spans="2:17">
      <c r="J114" s="90"/>
    </row>
    <row r="115" spans="2:17">
      <c r="J115" s="90"/>
    </row>
    <row r="116" spans="2:17">
      <c r="J116" s="90"/>
    </row>
    <row r="117" spans="2:17">
      <c r="J117" s="90"/>
    </row>
    <row r="118" spans="2:17">
      <c r="J118" s="90"/>
    </row>
    <row r="119" spans="2:17">
      <c r="J119" s="90"/>
    </row>
    <row r="120" spans="2:17">
      <c r="J120" s="90"/>
      <c r="M120" s="106"/>
    </row>
    <row r="121" spans="2:17">
      <c r="J121" s="90"/>
    </row>
    <row r="122" spans="2:17">
      <c r="J122" s="90"/>
    </row>
    <row r="123" spans="2:17">
      <c r="J123" s="90"/>
    </row>
    <row r="124" spans="2:17">
      <c r="J124" s="90"/>
    </row>
    <row r="125" spans="2:17">
      <c r="J125" s="90"/>
    </row>
    <row r="126" spans="2:17">
      <c r="J126" s="90"/>
    </row>
    <row r="127" spans="2:17">
      <c r="B127" s="155"/>
      <c r="C127" s="156" t="s">
        <v>228</v>
      </c>
      <c r="D127" s="156" t="s">
        <v>229</v>
      </c>
      <c r="E127" s="157" t="s">
        <v>230</v>
      </c>
      <c r="G127" s="155"/>
      <c r="H127" s="128"/>
      <c r="I127" s="128"/>
      <c r="J127" s="207"/>
      <c r="K127" s="128"/>
      <c r="L127" s="128"/>
      <c r="M127" s="128"/>
      <c r="N127" s="128"/>
      <c r="O127" s="156" t="s">
        <v>228</v>
      </c>
      <c r="P127" s="156" t="s">
        <v>229</v>
      </c>
      <c r="Q127" s="157" t="s">
        <v>230</v>
      </c>
    </row>
    <row r="128" spans="2:17">
      <c r="B128" s="158" t="str">
        <f>"DCF Value at "&amp;TEXT(E99,"0.0x")&amp;"-"&amp;TEXT(I99,"0.0x")&amp;" Exit EBITDA Range at "&amp;TEXT(D102,"0.0%")&amp;" WACC"</f>
        <v>DCF Value at 11.0x-15.0x Exit EBITDA Range at 9.0% WACC</v>
      </c>
      <c r="C128" s="100">
        <f>E102</f>
        <v>20.680633001583054</v>
      </c>
      <c r="D128" s="100">
        <f>E128-C128</f>
        <v>0</v>
      </c>
      <c r="E128" s="159">
        <f>I102</f>
        <v>20.680633001583054</v>
      </c>
      <c r="G128" s="158" t="str">
        <f>"LTM EBITDA Purchase Multiple at "&amp;TEXT(M90,"0.0%")&amp;"-"&amp;TEXT(Q90,"0.0%")&amp;" Perpetuity Growth at "&amp;TEXT(L93,"0.0%")&amp;" WACC"</f>
        <v>LTM EBITDA Purchase Multiple at 2.0%-4.0% Perpetuity Growth at 9.0% WACC</v>
      </c>
      <c r="J128" s="90"/>
      <c r="O128" s="98" t="e">
        <f>M93</f>
        <v>#DIV/0!</v>
      </c>
      <c r="P128" s="98" t="e">
        <f>Q128-O128</f>
        <v>#DIV/0!</v>
      </c>
      <c r="Q128" s="160" t="e">
        <f>Q93</f>
        <v>#DIV/0!</v>
      </c>
    </row>
    <row r="129" spans="2:17">
      <c r="B129" s="161" t="str">
        <f>"DCF Value at "&amp;TEXT(E90,"0.0%")&amp;"-"&amp;TEXT(I90,"0.0%")&amp;" Perpetuity Range at "&amp;TEXT(D102,"0.0%")&amp;" WACC"</f>
        <v>DCF Value at 2.0%-4.0% Perpetuity Range at 9.0% WACC</v>
      </c>
      <c r="C129" s="100">
        <f>E93</f>
        <v>20.680633001583054</v>
      </c>
      <c r="D129" s="100">
        <f>E129-C129</f>
        <v>0</v>
      </c>
      <c r="E129" s="159">
        <f>I93</f>
        <v>20.680633001583054</v>
      </c>
      <c r="G129" s="161" t="e">
        <f>"LTM EBITDA Purchase Multiple at "&amp;TEXT(M102,"0.0x")&amp;"-"&amp;TEXT(Q102,"0.0x")&amp;" Exit EBITDA Multiple at "&amp;TEXT(L102,"0.0%")&amp;" WACC"</f>
        <v>#DIV/0!</v>
      </c>
      <c r="J129" s="90"/>
      <c r="O129" s="98" t="e">
        <f>M102</f>
        <v>#DIV/0!</v>
      </c>
      <c r="P129" s="98" t="e">
        <f>Q129-O129</f>
        <v>#DIV/0!</v>
      </c>
      <c r="Q129" s="160" t="e">
        <f>Q102</f>
        <v>#DIV/0!</v>
      </c>
    </row>
    <row r="130" spans="2:17">
      <c r="B130" s="162" t="s">
        <v>231</v>
      </c>
      <c r="C130" s="283">
        <v>169.5</v>
      </c>
      <c r="D130" s="163">
        <f>E130-C130</f>
        <v>158.35000000000002</v>
      </c>
      <c r="E130" s="284">
        <v>327.85</v>
      </c>
      <c r="G130" s="162" t="str">
        <f>"LTM EBITDA Purchase Multiple at "&amp;TEXT(L104,"0.0%")&amp;"-"&amp;TEXT(L100,"0.0%")&amp;" WACC at "&amp;TEXT(O99,"0.0x")&amp;" Exit EBITDA"</f>
        <v>LTM EBITDA Purchase Multiple at 7.0%-11.0% WACC at 13.0x Exit EBITDA</v>
      </c>
      <c r="H130" s="5"/>
      <c r="I130" s="5"/>
      <c r="J130" s="208"/>
      <c r="K130" s="5"/>
      <c r="L130" s="5"/>
      <c r="M130" s="5"/>
      <c r="N130" s="5"/>
      <c r="O130" s="163" t="e">
        <f>O100</f>
        <v>#DIV/0!</v>
      </c>
      <c r="P130" s="163" t="e">
        <f>Q130-O130</f>
        <v>#DIV/0!</v>
      </c>
      <c r="Q130" s="164" t="e">
        <f>O104</f>
        <v>#DIV/0!</v>
      </c>
    </row>
    <row r="131" spans="2:17">
      <c r="J131" s="90"/>
    </row>
    <row r="132" spans="2:17">
      <c r="J132" s="90"/>
    </row>
  </sheetData>
  <conditionalFormatting sqref="E91:J95 E100:J104">
    <cfRule type="cellIs" dxfId="1" priority="1" operator="lessThan">
      <formula>$C$7</formula>
    </cfRule>
  </conditionalFormatting>
  <dataValidations count="1">
    <dataValidation type="list" allowBlank="1" showInputMessage="1" showErrorMessage="1" sqref="H7" xr:uid="{20F4AAE4-877E-4910-AF53-548DF3B5B530}">
      <formula1>"0,1"</formula1>
    </dataValidation>
  </dataValidations>
  <pageMargins left="0.7" right="0.7" top="0.75" bottom="0.75" header="0.3" footer="0.3"/>
  <pageSetup orientation="portrait" r:id="rId1"/>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544D6A-CAA1-410F-8491-FA8F07E2CAE0}">
  <sheetPr>
    <tabColor theme="4"/>
  </sheetPr>
  <dimension ref="B1:Q132"/>
  <sheetViews>
    <sheetView zoomScaleNormal="100" workbookViewId="0">
      <selection activeCell="C18" sqref="C18"/>
    </sheetView>
  </sheetViews>
  <sheetFormatPr defaultColWidth="9.08984375" defaultRowHeight="14.5"/>
  <cols>
    <col min="1" max="1" width="1.453125" customWidth="1"/>
    <col min="2" max="2" width="54.453125" customWidth="1"/>
    <col min="3" max="3" width="13.453125" customWidth="1"/>
    <col min="4" max="9" width="12.6328125" customWidth="1"/>
    <col min="10" max="10" width="1.81640625" customWidth="1"/>
    <col min="11" max="11" width="12.08984375" bestFit="1" customWidth="1"/>
    <col min="12" max="16" width="9.453125" customWidth="1"/>
  </cols>
  <sheetData>
    <row r="1" spans="2:10" ht="15" thickBot="1"/>
    <row r="2" spans="2:10" ht="15" thickBot="1">
      <c r="B2" s="52" t="s">
        <v>316</v>
      </c>
      <c r="C2" s="41"/>
      <c r="D2" s="41"/>
      <c r="E2" s="41"/>
      <c r="F2" s="41"/>
      <c r="G2" s="41"/>
      <c r="H2" s="41"/>
      <c r="I2" s="41"/>
    </row>
    <row r="3" spans="2:10">
      <c r="B3" s="337" t="str">
        <f>'Financials '!$B$3</f>
        <v xml:space="preserve">$ and shares in millions, except per share data </v>
      </c>
    </row>
    <row r="4" spans="2:10">
      <c r="B4" t="s">
        <v>318</v>
      </c>
      <c r="D4" s="118">
        <v>43736</v>
      </c>
      <c r="F4" t="s">
        <v>198</v>
      </c>
      <c r="H4" s="93">
        <f>'WACC Done'!E21</f>
        <v>7.7864310730353978E-2</v>
      </c>
      <c r="I4" t="s">
        <v>322</v>
      </c>
    </row>
    <row r="5" spans="2:10">
      <c r="B5" t="s">
        <v>319</v>
      </c>
      <c r="D5" s="117">
        <f>EOMONTH(D4,12)</f>
        <v>44104</v>
      </c>
      <c r="F5" t="s">
        <v>317</v>
      </c>
      <c r="H5" s="119">
        <v>273.52</v>
      </c>
      <c r="I5" t="s">
        <v>199</v>
      </c>
    </row>
    <row r="6" spans="2:10">
      <c r="B6" t="s">
        <v>320</v>
      </c>
      <c r="D6" s="118">
        <v>43827</v>
      </c>
      <c r="F6" t="s">
        <v>342</v>
      </c>
      <c r="H6" s="218">
        <v>43888</v>
      </c>
      <c r="J6" s="193"/>
    </row>
    <row r="7" spans="2:10">
      <c r="B7" t="s">
        <v>321</v>
      </c>
      <c r="D7" s="118">
        <v>43889</v>
      </c>
      <c r="F7" t="s">
        <v>350</v>
      </c>
      <c r="H7" s="210">
        <v>0</v>
      </c>
      <c r="I7" s="193"/>
      <c r="J7" s="193"/>
    </row>
    <row r="8" spans="2:10">
      <c r="B8" t="s">
        <v>197</v>
      </c>
      <c r="D8" s="91">
        <f>YEARFRAC(D7,D5)</f>
        <v>0.58888888888888891</v>
      </c>
    </row>
    <row r="9" spans="2:10">
      <c r="D9" s="120"/>
      <c r="F9" t="s">
        <v>200</v>
      </c>
      <c r="H9" s="120" t="str">
        <f>'2019 FSM Update Complete'!L5</f>
        <v>Base case</v>
      </c>
    </row>
    <row r="10" spans="2:10">
      <c r="B10" s="92" t="s">
        <v>265</v>
      </c>
      <c r="C10" s="56"/>
      <c r="D10" s="234"/>
      <c r="F10" s="56"/>
      <c r="G10" s="56"/>
      <c r="H10" s="56"/>
      <c r="I10" s="56"/>
    </row>
    <row r="11" spans="2:10" ht="17.25" customHeight="1">
      <c r="C11" s="139" t="s">
        <v>266</v>
      </c>
      <c r="D11" s="139" t="s">
        <v>263</v>
      </c>
      <c r="E11" s="246" t="s">
        <v>264</v>
      </c>
      <c r="F11" s="139"/>
      <c r="G11" s="139"/>
      <c r="H11" s="139"/>
      <c r="I11" s="139"/>
    </row>
    <row r="12" spans="2:10">
      <c r="B12" s="10" t="s">
        <v>338</v>
      </c>
      <c r="C12" s="222">
        <f>D7</f>
        <v>43889</v>
      </c>
      <c r="D12" s="190">
        <f>D4</f>
        <v>43736</v>
      </c>
      <c r="E12" s="243">
        <f>EOMONTH(D12,12)</f>
        <v>44104</v>
      </c>
      <c r="F12" s="191">
        <f>EOMONTH(E12,12)</f>
        <v>44469</v>
      </c>
      <c r="G12" s="191">
        <f t="shared" ref="G12:I12" si="0">EOMONTH(F12,12)</f>
        <v>44834</v>
      </c>
      <c r="H12" s="191">
        <f t="shared" si="0"/>
        <v>45199</v>
      </c>
      <c r="I12" s="191">
        <f t="shared" si="0"/>
        <v>45565</v>
      </c>
    </row>
    <row r="13" spans="2:10">
      <c r="B13" s="10"/>
      <c r="D13" s="180"/>
      <c r="E13" s="179"/>
      <c r="F13" s="179"/>
      <c r="G13" s="179"/>
      <c r="H13" s="179"/>
      <c r="I13" s="179"/>
    </row>
    <row r="14" spans="2:10">
      <c r="B14" t="s">
        <v>11</v>
      </c>
      <c r="C14" s="125">
        <f ca="1">+E14*(1-$D$8)+D14*$D$8</f>
        <v>266591.62533333333</v>
      </c>
      <c r="D14" s="181">
        <f>'2019 FSM Update Complete'!G17</f>
        <v>260174</v>
      </c>
      <c r="E14" s="105">
        <f ca="1">'2019 FSM Update Complete'!H17</f>
        <v>275784.44</v>
      </c>
      <c r="F14" s="105">
        <f ca="1">'2019 FSM Update Complete'!I17</f>
        <v>294813.56636</v>
      </c>
      <c r="G14" s="105">
        <f ca="1">'2019 FSM Update Complete'!J17</f>
        <v>315155.70243884</v>
      </c>
      <c r="H14" s="105">
        <f ca="1">'2019 FSM Update Complete'!K17</f>
        <v>336901.44590711995</v>
      </c>
      <c r="I14" s="105">
        <f ca="1">'2019 FSM Update Complete'!L17</f>
        <v>360147.64567471121</v>
      </c>
    </row>
    <row r="15" spans="2:10">
      <c r="B15" s="17" t="s">
        <v>154</v>
      </c>
      <c r="D15" s="182"/>
      <c r="E15" s="91">
        <f ca="1">E14/D14-1</f>
        <v>6.0000000000000053E-2</v>
      </c>
      <c r="F15" s="91">
        <f ca="1">F14/E14-1</f>
        <v>6.899999999999995E-2</v>
      </c>
      <c r="G15" s="91">
        <f ca="1">G14/F14-1</f>
        <v>6.899999999999995E-2</v>
      </c>
      <c r="H15" s="91">
        <f ca="1">H14/G14-1</f>
        <v>6.899999999999995E-2</v>
      </c>
      <c r="I15" s="91">
        <f ca="1">I14/H14-1</f>
        <v>6.899999999999995E-2</v>
      </c>
    </row>
    <row r="16" spans="2:10">
      <c r="B16" t="s">
        <v>45</v>
      </c>
      <c r="C16" s="125">
        <f ca="1">+E16*(1-$D$8)+D16*$D$8</f>
        <v>77781.991360565225</v>
      </c>
      <c r="D16" s="181">
        <f>'2019 FSM Update Complete'!G31</f>
        <v>76477</v>
      </c>
      <c r="E16" s="105">
        <f ca="1">'2019 FSM Update Complete'!H31</f>
        <v>79651.303309482973</v>
      </c>
      <c r="F16" s="105">
        <f ca="1">'2019 FSM Update Complete'!I31</f>
        <v>84942.390585247267</v>
      </c>
      <c r="G16" s="105">
        <f ca="1">'2019 FSM Update Complete'!J31</f>
        <v>91086.46193482932</v>
      </c>
      <c r="H16" s="105">
        <f ca="1">'2019 FSM Update Complete'!K31</f>
        <v>97674.004409077344</v>
      </c>
      <c r="I16" s="105">
        <f ca="1">'2019 FSM Update Complete'!L31</f>
        <v>104736.96509949987</v>
      </c>
    </row>
    <row r="17" spans="2:13">
      <c r="B17" s="17" t="s">
        <v>253</v>
      </c>
      <c r="D17" s="183">
        <f t="shared" ref="D17:I17" si="1">D16/D14</f>
        <v>0.29394559025882677</v>
      </c>
      <c r="E17" s="91">
        <f t="shared" ca="1" si="1"/>
        <v>0.28881724911486295</v>
      </c>
      <c r="F17" s="91">
        <f t="shared" ca="1" si="1"/>
        <v>0.28812239421005209</v>
      </c>
      <c r="G17" s="91">
        <f t="shared" ca="1" si="1"/>
        <v>0.28902051027461834</v>
      </c>
      <c r="H17" s="91">
        <f t="shared" ca="1" si="1"/>
        <v>0.28991862633918469</v>
      </c>
      <c r="I17" s="91">
        <f t="shared" ca="1" si="1"/>
        <v>0.29081674240375099</v>
      </c>
    </row>
    <row r="18" spans="2:13">
      <c r="B18" t="s">
        <v>201</v>
      </c>
      <c r="C18" s="125">
        <f ca="1">+E18*(1-$D$8)+D18*$D$8</f>
        <v>65538.666365333338</v>
      </c>
      <c r="D18" s="181">
        <f>'2019 FSM Update Complete'!G22</f>
        <v>63930</v>
      </c>
      <c r="E18" s="105">
        <f ca="1">'2019 FSM Update Complete'!H22</f>
        <v>67842.972240000003</v>
      </c>
      <c r="F18" s="105">
        <f ca="1">'2019 FSM Update Complete'!I22</f>
        <v>72524.137324559997</v>
      </c>
      <c r="G18" s="105">
        <f ca="1">'2019 FSM Update Complete'!J22</f>
        <v>77528.302799954632</v>
      </c>
      <c r="H18" s="105">
        <f ca="1">'2019 FSM Update Complete'!K22</f>
        <v>82877.755693151499</v>
      </c>
      <c r="I18" s="105">
        <f ca="1">'2019 FSM Update Complete'!L22</f>
        <v>88596.320835978957</v>
      </c>
    </row>
    <row r="19" spans="2:13">
      <c r="B19" s="17" t="s">
        <v>253</v>
      </c>
      <c r="D19" s="183">
        <f>D18/D14</f>
        <v>0.24572017188496928</v>
      </c>
      <c r="E19" s="91">
        <f t="shared" ref="E19:I19" ca="1" si="2">E18/E14</f>
        <v>0.246</v>
      </c>
      <c r="F19" s="91">
        <f t="shared" ca="1" si="2"/>
        <v>0.246</v>
      </c>
      <c r="G19" s="91">
        <f t="shared" ca="1" si="2"/>
        <v>0.24599999999999997</v>
      </c>
      <c r="H19" s="91">
        <f t="shared" ca="1" si="2"/>
        <v>0.24599999999999997</v>
      </c>
      <c r="I19" s="91">
        <f t="shared" ca="1" si="2"/>
        <v>0.246</v>
      </c>
    </row>
    <row r="20" spans="2:13">
      <c r="B20" s="17"/>
      <c r="D20" s="181"/>
      <c r="E20" s="105"/>
      <c r="F20" s="105"/>
      <c r="G20" s="105"/>
      <c r="H20" s="105"/>
      <c r="I20" s="105"/>
    </row>
    <row r="21" spans="2:13">
      <c r="B21" t="s">
        <v>341</v>
      </c>
      <c r="D21" s="184">
        <f>D22*D18</f>
        <v>10192.894868947473</v>
      </c>
      <c r="E21" s="125">
        <f t="shared" ref="E21:I21" ca="1" si="3">E22*E18</f>
        <v>10816.772777088096</v>
      </c>
      <c r="F21" s="125">
        <f t="shared" ca="1" si="3"/>
        <v>11563.130098707172</v>
      </c>
      <c r="G21" s="125">
        <f t="shared" ca="1" si="3"/>
        <v>12360.986075517967</v>
      </c>
      <c r="H21" s="125">
        <f t="shared" ca="1" si="3"/>
        <v>13213.894114728706</v>
      </c>
      <c r="I21" s="125">
        <f t="shared" ca="1" si="3"/>
        <v>14125.652808644987</v>
      </c>
    </row>
    <row r="22" spans="2:13" ht="15" customHeight="1">
      <c r="B22" s="17" t="s">
        <v>0</v>
      </c>
      <c r="D22" s="192">
        <f>'2019 FSM Update Complete'!G40</f>
        <v>0.15943836804235059</v>
      </c>
      <c r="E22" s="192">
        <f>'2019 FSM Update Complete'!H40</f>
        <v>0.15943836804235059</v>
      </c>
      <c r="F22" s="93">
        <f>'2019 FSM Update Complete'!I40</f>
        <v>0.15943836804235059</v>
      </c>
      <c r="G22" s="93">
        <f>'2019 FSM Update Complete'!J40</f>
        <v>0.15943836804235059</v>
      </c>
      <c r="H22" s="93">
        <f>'2019 FSM Update Complete'!K40</f>
        <v>0.15943836804235059</v>
      </c>
      <c r="I22" s="93">
        <f>'2019 FSM Update Complete'!L40</f>
        <v>0.15943836804235059</v>
      </c>
    </row>
    <row r="23" spans="2:13">
      <c r="B23" s="13" t="s">
        <v>276</v>
      </c>
      <c r="C23" s="13"/>
      <c r="D23" s="244">
        <f t="shared" ref="D23:I23" si="4">D18*(1-D22)</f>
        <v>53737.105131052529</v>
      </c>
      <c r="E23" s="124">
        <f t="shared" ca="1" si="4"/>
        <v>57026.199462911907</v>
      </c>
      <c r="F23" s="124">
        <f t="shared" ca="1" si="4"/>
        <v>60961.007225852823</v>
      </c>
      <c r="G23" s="124">
        <f t="shared" ca="1" si="4"/>
        <v>65167.31672443667</v>
      </c>
      <c r="H23" s="124">
        <f t="shared" ca="1" si="4"/>
        <v>69663.861578422802</v>
      </c>
      <c r="I23" s="124">
        <f t="shared" ca="1" si="4"/>
        <v>74470.668027333973</v>
      </c>
    </row>
    <row r="24" spans="2:13">
      <c r="D24" s="125"/>
      <c r="E24" s="125"/>
      <c r="F24" s="125"/>
      <c r="G24" s="125"/>
      <c r="H24" s="125"/>
      <c r="I24" s="125"/>
    </row>
    <row r="25" spans="2:13">
      <c r="B25" t="s">
        <v>47</v>
      </c>
      <c r="D25" s="105">
        <f>'2019 FSM Update Complete'!G30</f>
        <v>12547</v>
      </c>
      <c r="E25" s="105">
        <f ca="1">'2019 FSM Update Complete'!H30</f>
        <v>11808.331069482967</v>
      </c>
      <c r="F25" s="105">
        <f ca="1">'2019 FSM Update Complete'!I30</f>
        <v>12418.253260687266</v>
      </c>
      <c r="G25" s="105">
        <f ca="1">'2019 FSM Update Complete'!J30</f>
        <v>13558.159134874686</v>
      </c>
      <c r="H25" s="105">
        <f ca="1">'2019 FSM Update Complete'!K30</f>
        <v>14796.248715925842</v>
      </c>
      <c r="I25" s="105">
        <f ca="1">'2019 FSM Update Complete'!L30</f>
        <v>16140.644263520915</v>
      </c>
      <c r="M25" s="96"/>
    </row>
    <row r="26" spans="2:13">
      <c r="B26" t="s">
        <v>202</v>
      </c>
      <c r="D26" s="125"/>
      <c r="E26" s="125">
        <f ca="1">D32-E32</f>
        <v>1645.7206333115173</v>
      </c>
      <c r="F26" s="125">
        <f ca="1">E32-F32</f>
        <v>1991.4587236984662</v>
      </c>
      <c r="G26" s="125">
        <f ca="1">F32-G32</f>
        <v>2128.8693756337016</v>
      </c>
      <c r="H26" s="125">
        <f ca="1">G32-H32</f>
        <v>2275.76136255241</v>
      </c>
      <c r="I26" s="125">
        <f ca="1">H32-I32</f>
        <v>2432.7888965685124</v>
      </c>
      <c r="M26" s="96"/>
    </row>
    <row r="27" spans="2:13">
      <c r="B27" t="s">
        <v>34</v>
      </c>
      <c r="D27" s="105"/>
      <c r="E27" s="105">
        <f>-('2019 FSM Update Complete'!H97)</f>
        <v>-12925.83</v>
      </c>
      <c r="F27" s="105">
        <f>-('2019 FSM Update Complete'!I97)</f>
        <v>-13238.84</v>
      </c>
      <c r="G27" s="105">
        <f ca="1">-('2019 FSM Update Complete'!J97)</f>
        <v>-14152.319959999999</v>
      </c>
      <c r="H27" s="105">
        <f ca="1">-('2019 FSM Update Complete'!K97)</f>
        <v>-15128.830037239999</v>
      </c>
      <c r="I27" s="105">
        <f ca="1">-('2019 FSM Update Complete'!L97)</f>
        <v>-16172.719309809558</v>
      </c>
      <c r="M27" s="96"/>
    </row>
    <row r="28" spans="2:13">
      <c r="B28" s="17" t="s">
        <v>126</v>
      </c>
      <c r="D28" s="105"/>
      <c r="E28" s="91">
        <f ca="1">E27/E14</f>
        <v>-4.686932301184215E-2</v>
      </c>
      <c r="F28" s="91">
        <f ca="1">F27/F14</f>
        <v>-4.490580322831518E-2</v>
      </c>
      <c r="G28" s="91">
        <f ca="1">G27/G14</f>
        <v>-4.490580322831518E-2</v>
      </c>
      <c r="H28" s="91">
        <f ca="1">H27/H14</f>
        <v>-4.490580322831518E-2</v>
      </c>
      <c r="I28" s="91">
        <f ca="1">I27/I14</f>
        <v>-4.490580322831518E-2</v>
      </c>
      <c r="M28" s="96"/>
    </row>
    <row r="29" spans="2:13">
      <c r="D29" s="105"/>
      <c r="E29" s="105"/>
      <c r="F29" s="105"/>
      <c r="G29" s="105"/>
      <c r="H29" s="105"/>
      <c r="I29" s="105"/>
      <c r="M29" s="96"/>
    </row>
    <row r="30" spans="2:13">
      <c r="B30" s="13" t="s">
        <v>344</v>
      </c>
      <c r="C30" s="13"/>
      <c r="D30" s="124"/>
      <c r="E30" s="124">
        <f ca="1">E23+E25+E26+E27</f>
        <v>57554.421165706386</v>
      </c>
      <c r="F30" s="124">
        <f ca="1">F23+F25+F26+F27</f>
        <v>62131.879210238563</v>
      </c>
      <c r="G30" s="124">
        <f ca="1">G23+G25+G26+G27</f>
        <v>66702.025274945059</v>
      </c>
      <c r="H30" s="124">
        <f ca="1">H23+H25+H26+H27</f>
        <v>71607.04161966106</v>
      </c>
      <c r="I30" s="124">
        <f ca="1">I23+I25+I26+I27</f>
        <v>76871.381877613836</v>
      </c>
      <c r="M30" s="124"/>
    </row>
    <row r="31" spans="2:13">
      <c r="D31" s="105"/>
      <c r="M31" s="96"/>
    </row>
    <row r="32" spans="2:13">
      <c r="B32" t="s">
        <v>275</v>
      </c>
      <c r="D32" s="105">
        <f>SUM('2019 FSM Update Complete'!G46:G48)-SUM('2019 FSM Update Complete'!G53:G55)</f>
        <v>-27216</v>
      </c>
      <c r="E32" s="105">
        <f ca="1">SUM('2019 FSM Update Complete'!H46:H48)-SUM('2019 FSM Update Complete'!H53:H55)</f>
        <v>-28861.720633311517</v>
      </c>
      <c r="F32" s="105">
        <f ca="1">SUM('2019 FSM Update Complete'!I46:I48)-SUM('2019 FSM Update Complete'!I53:I55)</f>
        <v>-30853.179357009984</v>
      </c>
      <c r="G32" s="105">
        <f ca="1">SUM('2019 FSM Update Complete'!J46:J48)-SUM('2019 FSM Update Complete'!J53:J55)</f>
        <v>-32982.048732643685</v>
      </c>
      <c r="H32" s="105">
        <f ca="1">SUM('2019 FSM Update Complete'!K46:K48)-SUM('2019 FSM Update Complete'!K53:K55)</f>
        <v>-35257.810095196095</v>
      </c>
      <c r="I32" s="105">
        <f ca="1">SUM('2019 FSM Update Complete'!L46:L48)-SUM('2019 FSM Update Complete'!L53:L55)</f>
        <v>-37690.598991764607</v>
      </c>
    </row>
    <row r="33" spans="2:13">
      <c r="B33" s="17" t="s">
        <v>126</v>
      </c>
      <c r="D33" s="91">
        <f t="shared" ref="D33:I33" si="5">D32/D14</f>
        <v>-0.10460691690945291</v>
      </c>
      <c r="E33" s="91">
        <f t="shared" ca="1" si="5"/>
        <v>-0.10465318722590555</v>
      </c>
      <c r="F33" s="91">
        <f t="shared" ca="1" si="5"/>
        <v>-0.10465318722590546</v>
      </c>
      <c r="G33" s="91">
        <f t="shared" ca="1" si="5"/>
        <v>-0.1046531872259055</v>
      </c>
      <c r="H33" s="91">
        <f t="shared" ca="1" si="5"/>
        <v>-0.10465318722590548</v>
      </c>
      <c r="I33" s="91">
        <f t="shared" ca="1" si="5"/>
        <v>-0.10465318722590544</v>
      </c>
      <c r="J33" s="105"/>
    </row>
    <row r="34" spans="2:13">
      <c r="D34" s="105"/>
      <c r="E34" s="91"/>
      <c r="F34" s="91"/>
      <c r="G34" s="91"/>
      <c r="H34" s="91"/>
      <c r="I34" s="91"/>
      <c r="J34" s="105"/>
      <c r="K34" s="23"/>
      <c r="M34" s="91"/>
    </row>
    <row r="35" spans="2:13">
      <c r="B35" s="92" t="str">
        <f>"Present value of UFCF on "&amp;TEXT(D7,"mmm dd, yyyy")&amp;" valuation date"</f>
        <v>Present value of UFCF on Feb 28, 2020 valuation date</v>
      </c>
      <c r="C35" s="56"/>
      <c r="D35" s="209"/>
      <c r="E35" s="56"/>
      <c r="F35" s="209"/>
      <c r="G35" s="209"/>
      <c r="H35" s="209"/>
      <c r="I35" s="209"/>
      <c r="J35" s="105"/>
    </row>
    <row r="36" spans="2:13" ht="16">
      <c r="B36" s="13"/>
      <c r="D36" s="213" t="s">
        <v>269</v>
      </c>
      <c r="E36" s="213" t="s">
        <v>274</v>
      </c>
      <c r="F36" s="214" t="s">
        <v>270</v>
      </c>
      <c r="G36" s="214" t="s">
        <v>271</v>
      </c>
      <c r="H36" s="214" t="s">
        <v>272</v>
      </c>
      <c r="I36" s="214" t="s">
        <v>273</v>
      </c>
      <c r="J36" s="105"/>
    </row>
    <row r="37" spans="2:13">
      <c r="B37" t="s">
        <v>267</v>
      </c>
      <c r="D37" s="122">
        <f>D7</f>
        <v>43889</v>
      </c>
      <c r="E37" s="122">
        <f>IF($H$7=1,AVERAGE(E12,D37),E12)</f>
        <v>44104</v>
      </c>
      <c r="F37" s="122">
        <f>IF($H$7=1,AVERAGE(F12,E12),F12)</f>
        <v>44469</v>
      </c>
      <c r="G37" s="122">
        <f>IF($H$7=1,AVERAGE(G12,F12),G12)</f>
        <v>44834</v>
      </c>
      <c r="H37" s="122">
        <f>IF($H$7=1,AVERAGE(H12,G12),H12)</f>
        <v>45199</v>
      </c>
      <c r="I37" s="122">
        <f>IF($H$7=1,AVERAGE(I12,H12),I12)</f>
        <v>45565</v>
      </c>
      <c r="J37" s="105"/>
    </row>
    <row r="38" spans="2:13">
      <c r="B38" t="s">
        <v>268</v>
      </c>
      <c r="C38" s="211">
        <f>D8</f>
        <v>0.58888888888888891</v>
      </c>
      <c r="D38" s="96"/>
      <c r="E38" s="212">
        <f ca="1">E30*C38</f>
        <v>33893.159130915985</v>
      </c>
      <c r="F38" s="212">
        <f ca="1">F30</f>
        <v>62131.879210238563</v>
      </c>
      <c r="G38" s="212">
        <f ca="1">G30</f>
        <v>66702.025274945059</v>
      </c>
      <c r="H38" s="212">
        <f ca="1">H30</f>
        <v>71607.04161966106</v>
      </c>
      <c r="I38" s="212">
        <f ca="1">I30</f>
        <v>76871.381877613836</v>
      </c>
      <c r="J38" s="125"/>
      <c r="K38" t="s">
        <v>203</v>
      </c>
    </row>
    <row r="39" spans="2:13" ht="15" customHeight="1">
      <c r="B39" s="13" t="s">
        <v>254</v>
      </c>
      <c r="C39" s="72"/>
      <c r="D39" s="124"/>
      <c r="E39" s="124">
        <f ca="1">E38/(1+$H$4)^((E37-$D$7)/365)</f>
        <v>32428.768925175951</v>
      </c>
      <c r="F39" s="124">
        <f ca="1">F38/(1+$H$4)^((F37-$D$7)/365)</f>
        <v>55152.957841158357</v>
      </c>
      <c r="G39" s="124">
        <f ca="1">G38/(1+$H$4)^((G37-$D$7)/365)</f>
        <v>54932.485236156062</v>
      </c>
      <c r="H39" s="124">
        <f ca="1">H38/(1+$H$4)^((H37-$D$7)/365)</f>
        <v>54711.908759323269</v>
      </c>
      <c r="I39" s="124">
        <f ca="1">I38/(1+$H$4)^((I37-$D$7)/365)</f>
        <v>54480.052096973544</v>
      </c>
      <c r="J39" s="125"/>
    </row>
    <row r="41" spans="2:13">
      <c r="B41" s="92" t="s">
        <v>204</v>
      </c>
      <c r="C41" s="92"/>
      <c r="E41" s="92" t="s">
        <v>205</v>
      </c>
      <c r="F41" s="56"/>
      <c r="G41" s="56"/>
      <c r="H41" s="56"/>
      <c r="I41" s="56"/>
    </row>
    <row r="42" spans="2:13">
      <c r="B42" t="s">
        <v>206</v>
      </c>
      <c r="C42" s="102">
        <v>0.03</v>
      </c>
      <c r="E42" t="s">
        <v>261</v>
      </c>
      <c r="I42" s="96">
        <f ca="1">I16</f>
        <v>104736.96509949987</v>
      </c>
      <c r="J42" s="96"/>
    </row>
    <row r="43" spans="2:13">
      <c r="B43" s="129" t="str">
        <f>YEAR(I12)&amp;" FCF x (1+g)"</f>
        <v>2024 FCF x (1+g)</v>
      </c>
      <c r="C43" s="96">
        <f ca="1">I38*(1+C42)</f>
        <v>79177.523333942256</v>
      </c>
      <c r="E43" t="s">
        <v>207</v>
      </c>
      <c r="I43" s="187">
        <v>12.5154387291762</v>
      </c>
      <c r="J43" s="187"/>
    </row>
    <row r="44" spans="2:13">
      <c r="B44" t="str">
        <f>"Terminal value in "&amp;YEAR(I12)</f>
        <v>Terminal value in 2024</v>
      </c>
      <c r="C44" s="96">
        <f ca="1">C43/(H4-C42)</f>
        <v>1654207.9500526572</v>
      </c>
      <c r="E44" t="str">
        <f>"Terminal value in "&amp;YEAR(I12)</f>
        <v>Terminal value in 2024</v>
      </c>
      <c r="I44" s="96">
        <f ca="1">I42*I43</f>
        <v>1310829.0693826566</v>
      </c>
      <c r="J44" s="96"/>
    </row>
    <row r="45" spans="2:13">
      <c r="B45" t="s">
        <v>258</v>
      </c>
      <c r="C45" s="96">
        <f ca="1">C44/(1+H4)^((I37-$D$37)/365)</f>
        <v>1172365.2300355139</v>
      </c>
      <c r="E45" t="s">
        <v>258</v>
      </c>
      <c r="I45" s="96">
        <f ca="1">I44/(1+H4)^((I37-D37)/365)</f>
        <v>929006.79350206116</v>
      </c>
      <c r="J45" s="96"/>
    </row>
    <row r="46" spans="2:13">
      <c r="B46" t="s">
        <v>259</v>
      </c>
      <c r="C46" s="125">
        <f ca="1">SUM(E39:I39)</f>
        <v>251706.17285878718</v>
      </c>
      <c r="E46" t="s">
        <v>259</v>
      </c>
      <c r="I46" s="96">
        <f ca="1">C46</f>
        <v>251706.17285878718</v>
      </c>
      <c r="J46" s="96"/>
    </row>
    <row r="47" spans="2:13">
      <c r="B47" s="13" t="s">
        <v>256</v>
      </c>
      <c r="C47" s="123">
        <f ca="1">C46+C45</f>
        <v>1424071.4028943011</v>
      </c>
      <c r="E47" s="13" t="s">
        <v>208</v>
      </c>
      <c r="I47" s="123">
        <f ca="1">SUM(I45:I46)</f>
        <v>1180712.9663608484</v>
      </c>
      <c r="J47" s="123"/>
    </row>
    <row r="49" spans="2:11">
      <c r="B49" s="185" t="s">
        <v>255</v>
      </c>
      <c r="C49" s="130">
        <f ca="1">C45/$C$47</f>
        <v>0.8232489098880742</v>
      </c>
      <c r="E49" s="185" t="s">
        <v>255</v>
      </c>
      <c r="I49" s="130">
        <f ca="1">+I45/I47</f>
        <v>0.78681849015803806</v>
      </c>
      <c r="J49" s="130"/>
    </row>
    <row r="50" spans="2:11">
      <c r="B50" s="185" t="s">
        <v>260</v>
      </c>
      <c r="C50" s="130">
        <f ca="1">1-C49</f>
        <v>0.1767510901119258</v>
      </c>
      <c r="E50" s="185" t="s">
        <v>257</v>
      </c>
      <c r="G50" s="131"/>
      <c r="I50" s="49">
        <f ca="1">1-I49</f>
        <v>0.21318150984196194</v>
      </c>
      <c r="J50" s="49"/>
    </row>
    <row r="51" spans="2:11">
      <c r="B51" s="185" t="s">
        <v>210</v>
      </c>
      <c r="C51" s="186">
        <f ca="1">(C44/I16)</f>
        <v>15.793926704685051</v>
      </c>
      <c r="E51" t="s">
        <v>209</v>
      </c>
      <c r="I51" s="194">
        <f ca="1">(H4-I38/I44)/(1+I38/I44)</f>
        <v>1.8156238309424994E-2</v>
      </c>
      <c r="J51" s="194"/>
    </row>
    <row r="52" spans="2:11">
      <c r="B52" s="185"/>
      <c r="C52" s="10"/>
      <c r="D52" s="186"/>
      <c r="I52" s="194"/>
      <c r="J52" s="194"/>
    </row>
    <row r="53" spans="2:11">
      <c r="B53" s="92" t="s">
        <v>211</v>
      </c>
      <c r="C53" s="56"/>
      <c r="E53" s="92" t="s">
        <v>212</v>
      </c>
      <c r="F53" s="56"/>
      <c r="G53" s="92"/>
      <c r="H53" s="56"/>
      <c r="I53" s="56"/>
    </row>
    <row r="54" spans="2:11">
      <c r="B54" t="s">
        <v>326</v>
      </c>
      <c r="C54" s="218" t="s">
        <v>349</v>
      </c>
    </row>
    <row r="55" spans="2:11">
      <c r="B55" s="26" t="s">
        <v>312</v>
      </c>
      <c r="C55" s="122">
        <f>D6</f>
        <v>43827</v>
      </c>
      <c r="G55" s="16" t="s">
        <v>326</v>
      </c>
      <c r="H55" s="97" t="s">
        <v>234</v>
      </c>
      <c r="I55" s="97" t="s">
        <v>294</v>
      </c>
    </row>
    <row r="56" spans="2:11">
      <c r="B56" s="220" t="s">
        <v>298</v>
      </c>
      <c r="C56" s="132"/>
      <c r="E56" t="s">
        <v>311</v>
      </c>
      <c r="G56" s="218" t="s">
        <v>349</v>
      </c>
      <c r="H56" s="218">
        <v>43847</v>
      </c>
      <c r="I56" s="195">
        <v>4375.4799999999996</v>
      </c>
      <c r="J56" s="195"/>
    </row>
    <row r="57" spans="2:11">
      <c r="B57" s="17" t="s">
        <v>246</v>
      </c>
      <c r="C57" s="2">
        <f>4990+10224+93078</f>
        <v>108292</v>
      </c>
      <c r="E57" s="26" t="s">
        <v>295</v>
      </c>
      <c r="G57" s="218" t="s">
        <v>349</v>
      </c>
      <c r="H57" s="218">
        <v>43827</v>
      </c>
      <c r="I57" s="195">
        <v>96.02</v>
      </c>
      <c r="J57" s="196"/>
    </row>
    <row r="58" spans="2:11">
      <c r="B58" s="17" t="s">
        <v>291</v>
      </c>
      <c r="C58" s="231">
        <f>Shares!E25+Shares!E31</f>
        <v>0</v>
      </c>
      <c r="E58" s="26" t="s">
        <v>292</v>
      </c>
      <c r="G58" s="218"/>
      <c r="H58" s="218"/>
      <c r="I58" s="324">
        <f>Shares!E20</f>
        <v>50.595642000584959</v>
      </c>
      <c r="K58" t="s">
        <v>369</v>
      </c>
    </row>
    <row r="59" spans="2:11" ht="15" customHeight="1">
      <c r="B59" s="17" t="s">
        <v>297</v>
      </c>
      <c r="C59" s="231">
        <f>Shares!E34+Shares!E41</f>
        <v>0</v>
      </c>
      <c r="E59" t="s">
        <v>291</v>
      </c>
      <c r="G59" s="218"/>
      <c r="H59" s="218"/>
      <c r="I59" s="324">
        <f>Shares!E30</f>
        <v>58.171999999999997</v>
      </c>
      <c r="K59" t="s">
        <v>370</v>
      </c>
    </row>
    <row r="60" spans="2:11">
      <c r="B60" s="219" t="s">
        <v>302</v>
      </c>
      <c r="C60" s="2">
        <v>0</v>
      </c>
      <c r="E60" t="s">
        <v>293</v>
      </c>
      <c r="G60" s="218"/>
      <c r="H60" s="218"/>
      <c r="I60" s="324">
        <f>Shares!E40</f>
        <v>195.65</v>
      </c>
      <c r="K60" t="s">
        <v>371</v>
      </c>
    </row>
    <row r="61" spans="2:11" ht="15" customHeight="1">
      <c r="B61" s="220" t="s">
        <v>215</v>
      </c>
      <c r="E61" s="25" t="s">
        <v>216</v>
      </c>
      <c r="I61" s="199">
        <f>SUM(I56:I60)</f>
        <v>4775.9176420005842</v>
      </c>
      <c r="J61" s="197"/>
    </row>
    <row r="62" spans="2:11">
      <c r="B62" s="134" t="s">
        <v>301</v>
      </c>
      <c r="C62" s="2">
        <f>39771+67391+99899</f>
        <v>207061</v>
      </c>
      <c r="J62" s="133"/>
    </row>
    <row r="63" spans="2:11">
      <c r="B63" s="134" t="s">
        <v>299</v>
      </c>
      <c r="C63" s="2">
        <v>0</v>
      </c>
      <c r="J63" s="133"/>
    </row>
    <row r="64" spans="2:11">
      <c r="J64" s="198"/>
    </row>
    <row r="65" spans="2:6">
      <c r="B65" s="135" t="s">
        <v>211</v>
      </c>
      <c r="C65" s="27">
        <f>SUM(C57:C60)-SUM(C62:C63)</f>
        <v>-98769</v>
      </c>
    </row>
    <row r="67" spans="2:6">
      <c r="B67" s="92" t="s">
        <v>217</v>
      </c>
      <c r="C67" s="56"/>
      <c r="D67" s="56"/>
    </row>
    <row r="68" spans="2:6" ht="16">
      <c r="C68" s="225" t="s">
        <v>218</v>
      </c>
      <c r="D68" s="225" t="s">
        <v>45</v>
      </c>
    </row>
    <row r="69" spans="2:6">
      <c r="B69" t="s">
        <v>219</v>
      </c>
      <c r="C69" s="136">
        <f ca="1">C47</f>
        <v>1424071.4028943011</v>
      </c>
      <c r="D69" s="136">
        <f ca="1">I47</f>
        <v>1180712.9663608484</v>
      </c>
    </row>
    <row r="70" spans="2:6">
      <c r="B70" t="s">
        <v>211</v>
      </c>
      <c r="C70" s="189">
        <f>$C$65</f>
        <v>-98769</v>
      </c>
      <c r="D70" s="189">
        <f>C70</f>
        <v>-98769</v>
      </c>
    </row>
    <row r="71" spans="2:6">
      <c r="B71" t="s">
        <v>262</v>
      </c>
      <c r="C71" s="188">
        <f ca="1">C69-C70</f>
        <v>1522840.4028943011</v>
      </c>
      <c r="D71" s="188">
        <f ca="1">D69-D70</f>
        <v>1279481.9663608484</v>
      </c>
    </row>
    <row r="72" spans="2:6">
      <c r="B72" t="s">
        <v>212</v>
      </c>
      <c r="C72" s="188">
        <f>$I$61</f>
        <v>4775.9176420005842</v>
      </c>
      <c r="D72" s="188">
        <f>C72</f>
        <v>4775.9176420005842</v>
      </c>
    </row>
    <row r="73" spans="2:6">
      <c r="B73" s="13" t="s">
        <v>220</v>
      </c>
      <c r="C73" s="226">
        <f ca="1">C71/C72</f>
        <v>318.85817910720891</v>
      </c>
      <c r="D73" s="226">
        <f ca="1">D71/D72</f>
        <v>267.90285391623422</v>
      </c>
    </row>
    <row r="75" spans="2:6" ht="16">
      <c r="C75" s="139" t="s">
        <v>306</v>
      </c>
      <c r="D75" s="139"/>
    </row>
    <row r="76" spans="2:6">
      <c r="B76" s="16"/>
      <c r="C76" s="97" t="s">
        <v>218</v>
      </c>
      <c r="D76" s="97" t="s">
        <v>45</v>
      </c>
    </row>
    <row r="77" spans="2:6">
      <c r="B77" t="s">
        <v>308</v>
      </c>
      <c r="C77" s="227">
        <f ca="1">C69/$C$14</f>
        <v>5.3417709619111662</v>
      </c>
      <c r="D77" s="227">
        <f ca="1">D69/$C$14</f>
        <v>4.4289199440700422</v>
      </c>
    </row>
    <row r="78" spans="2:6">
      <c r="B78" t="s">
        <v>309</v>
      </c>
      <c r="C78" s="228">
        <f ca="1">C69/$C$16</f>
        <v>18.308497609593118</v>
      </c>
      <c r="D78" s="228">
        <f ca="1">D69/$C$16</f>
        <v>15.179772923112115</v>
      </c>
    </row>
    <row r="79" spans="2:6">
      <c r="B79" s="125" t="s">
        <v>310</v>
      </c>
      <c r="C79" s="228">
        <f ca="1">C69/$C$18</f>
        <v>21.728721102685778</v>
      </c>
      <c r="D79" s="228">
        <f ca="1">D69/$C$18</f>
        <v>18.015517126625362</v>
      </c>
    </row>
    <row r="80" spans="2:6" ht="16">
      <c r="B80" s="125"/>
      <c r="C80" s="139" t="s">
        <v>305</v>
      </c>
      <c r="D80" s="139"/>
      <c r="E80" s="228"/>
      <c r="F80" s="228"/>
    </row>
    <row r="81" spans="2:17">
      <c r="B81" s="16"/>
      <c r="C81" s="97" t="s">
        <v>218</v>
      </c>
      <c r="D81" s="97" t="s">
        <v>45</v>
      </c>
      <c r="E81" s="228"/>
      <c r="F81" s="228"/>
    </row>
    <row r="82" spans="2:17">
      <c r="B82" t="s">
        <v>308</v>
      </c>
      <c r="C82" s="227">
        <f ca="1">C69/$E$14</f>
        <v>5.1637119298474605</v>
      </c>
      <c r="D82" s="227">
        <f ca="1">D69/$E$14</f>
        <v>4.2812892792677077</v>
      </c>
      <c r="E82" s="228"/>
      <c r="F82" s="228"/>
    </row>
    <row r="83" spans="2:17">
      <c r="B83" t="s">
        <v>309</v>
      </c>
      <c r="C83" s="228">
        <f ca="1">C69/$E$16</f>
        <v>17.878821108062859</v>
      </c>
      <c r="D83" s="228">
        <f ca="1">D69/$E$16</f>
        <v>14.823523499335852</v>
      </c>
      <c r="E83" s="228"/>
      <c r="F83" s="228"/>
    </row>
    <row r="84" spans="2:17">
      <c r="B84" s="125" t="s">
        <v>310</v>
      </c>
      <c r="C84" s="228">
        <f ca="1">C69/$E$18</f>
        <v>20.990698901818945</v>
      </c>
      <c r="D84" s="228">
        <f ca="1">D69/$E$18</f>
        <v>17.403614956372795</v>
      </c>
      <c r="E84" s="228"/>
      <c r="F84" s="228"/>
    </row>
    <row r="86" spans="2:17">
      <c r="B86" s="92" t="s">
        <v>325</v>
      </c>
      <c r="C86" s="92"/>
      <c r="D86" s="92"/>
      <c r="E86" s="92"/>
      <c r="F86" s="92"/>
      <c r="G86" s="92"/>
      <c r="H86" s="92"/>
      <c r="I86" s="92"/>
      <c r="J86" s="92"/>
      <c r="K86" s="92"/>
      <c r="L86" s="92"/>
      <c r="M86" s="92"/>
      <c r="N86" s="92"/>
      <c r="O86" s="92"/>
      <c r="P86" s="92"/>
      <c r="Q86" s="92"/>
    </row>
    <row r="87" spans="2:17">
      <c r="B87" s="13"/>
    </row>
    <row r="88" spans="2:17" ht="17.25" customHeight="1">
      <c r="B88" s="237"/>
      <c r="C88" s="13"/>
      <c r="D88" s="138" t="s">
        <v>220</v>
      </c>
      <c r="E88" s="139"/>
      <c r="F88" s="139"/>
      <c r="G88" s="139"/>
      <c r="H88" s="139"/>
      <c r="I88" s="139"/>
      <c r="J88" s="200"/>
      <c r="L88" s="138" t="s">
        <v>300</v>
      </c>
      <c r="M88" s="139"/>
      <c r="N88" s="139"/>
      <c r="O88" s="139"/>
      <c r="P88" s="139"/>
      <c r="Q88" s="139"/>
    </row>
    <row r="89" spans="2:17" ht="15" customHeight="1">
      <c r="B89" s="237"/>
      <c r="D89" s="26"/>
      <c r="E89" s="94" t="s">
        <v>221</v>
      </c>
      <c r="F89" s="94"/>
      <c r="G89" s="94"/>
      <c r="H89" s="94"/>
      <c r="I89" s="94"/>
      <c r="J89" s="202"/>
      <c r="L89" s="26"/>
      <c r="M89" s="94"/>
      <c r="N89" s="94"/>
      <c r="O89" s="94"/>
      <c r="P89" s="94"/>
      <c r="Q89" s="94"/>
    </row>
    <row r="90" spans="2:17" ht="15" customHeight="1">
      <c r="B90" s="237"/>
      <c r="C90" s="95"/>
      <c r="D90" s="140">
        <f ca="1">C73</f>
        <v>318.85817910720891</v>
      </c>
      <c r="E90" s="141">
        <f>F90-0.005</f>
        <v>1.9999999999999997E-2</v>
      </c>
      <c r="F90" s="142">
        <f>G90-0.005</f>
        <v>2.4999999999999998E-2</v>
      </c>
      <c r="G90" s="143">
        <v>0.03</v>
      </c>
      <c r="H90" s="142">
        <f>G90+0.005</f>
        <v>3.4999999999999996E-2</v>
      </c>
      <c r="I90" s="142">
        <f>H90+0.005</f>
        <v>3.9999999999999994E-2</v>
      </c>
      <c r="J90" s="203"/>
      <c r="L90" s="145">
        <f ca="1">C78</f>
        <v>18.308497609593118</v>
      </c>
      <c r="M90" s="142">
        <f>N90-0.005</f>
        <v>1.9999999999999997E-2</v>
      </c>
      <c r="N90" s="142">
        <f>O90-0.005</f>
        <v>2.4999999999999998E-2</v>
      </c>
      <c r="O90" s="143">
        <v>0.03</v>
      </c>
      <c r="P90" s="142">
        <f>O90+0.005</f>
        <v>3.4999999999999996E-2</v>
      </c>
      <c r="Q90" s="144">
        <f>P90+0.005</f>
        <v>3.9999999999999994E-2</v>
      </c>
    </row>
    <row r="91" spans="2:17" ht="15" customHeight="1">
      <c r="B91" s="237"/>
      <c r="D91" s="146">
        <f>D92+0.01</f>
        <v>0.10999999999999999</v>
      </c>
      <c r="E91" s="147">
        <f t="dataTable" ref="E91:I95" dt2D="1" dtr="1" r1="C42" r2="H4" ca="1"/>
        <v>182.279452754543</v>
      </c>
      <c r="F91" s="147">
        <v>189.51091665249308</v>
      </c>
      <c r="G91" s="147">
        <v>197.64631353768701</v>
      </c>
      <c r="H91" s="147">
        <v>206.86643000757337</v>
      </c>
      <c r="I91" s="147">
        <v>217.4037059731578</v>
      </c>
      <c r="J91" s="204"/>
      <c r="L91" s="146">
        <f t="shared" ref="L91" si="6">L92+0.01</f>
        <v>0.10999999999999999</v>
      </c>
      <c r="M91" s="137">
        <f t="dataTable" ref="M91:Q95" dt2D="1" dtr="1" r1="C42" r2="H4" ca="1"/>
        <v>9.9223822980690723</v>
      </c>
      <c r="N91" s="137">
        <v>10.366403792036889</v>
      </c>
      <c r="O91" s="137">
        <v>10.865927972750692</v>
      </c>
      <c r="P91" s="137">
        <v>11.432055377559662</v>
      </c>
      <c r="Q91" s="137">
        <v>12.079058125912768</v>
      </c>
    </row>
    <row r="92" spans="2:17" ht="15" customHeight="1">
      <c r="B92" s="237"/>
      <c r="D92" s="146">
        <f>D93+0.01</f>
        <v>9.9999999999999992E-2</v>
      </c>
      <c r="E92" s="147">
        <v>203.00404120553102</v>
      </c>
      <c r="F92" s="147">
        <v>212.52878188566515</v>
      </c>
      <c r="G92" s="147">
        <v>223.41419980581844</v>
      </c>
      <c r="H92" s="147">
        <v>235.97429740599534</v>
      </c>
      <c r="I92" s="147">
        <v>250.62774460620173</v>
      </c>
      <c r="J92" s="204"/>
      <c r="L92" s="146">
        <f>L93+0.01</f>
        <v>9.9999999999999992E-2</v>
      </c>
      <c r="M92" s="137">
        <v>11.194899571989842</v>
      </c>
      <c r="N92" s="137">
        <v>11.779731308154362</v>
      </c>
      <c r="O92" s="137">
        <v>12.448110435199533</v>
      </c>
      <c r="P92" s="137">
        <v>13.219317120251651</v>
      </c>
      <c r="Q92" s="137">
        <v>14.119058252812456</v>
      </c>
    </row>
    <row r="93" spans="2:17" ht="15" customHeight="1">
      <c r="B93" s="237"/>
      <c r="C93" s="95" t="s">
        <v>222</v>
      </c>
      <c r="D93" s="148">
        <v>0.09</v>
      </c>
      <c r="E93" s="147">
        <v>229.67451002601129</v>
      </c>
      <c r="F93" s="147">
        <v>242.65343402559677</v>
      </c>
      <c r="G93" s="147">
        <v>257.79551202511317</v>
      </c>
      <c r="H93" s="147">
        <v>275.69069511545064</v>
      </c>
      <c r="I93" s="147">
        <v>297.16491482385555</v>
      </c>
      <c r="J93" s="204"/>
      <c r="K93" s="95" t="s">
        <v>222</v>
      </c>
      <c r="L93" s="148">
        <v>0.09</v>
      </c>
      <c r="M93" s="137">
        <v>12.832501802687379</v>
      </c>
      <c r="N93" s="137">
        <v>13.629424985284521</v>
      </c>
      <c r="O93" s="137">
        <v>14.559168698314519</v>
      </c>
      <c r="P93" s="137">
        <v>15.657956722804514</v>
      </c>
      <c r="Q93" s="137">
        <v>16.976502352192504</v>
      </c>
    </row>
    <row r="94" spans="2:17" ht="15" customHeight="1">
      <c r="B94" s="237"/>
      <c r="D94" s="146">
        <f t="shared" ref="D94:D95" si="7">D93-0.01</f>
        <v>0.08</v>
      </c>
      <c r="E94" s="147">
        <v>265.2650640498079</v>
      </c>
      <c r="F94" s="147">
        <v>283.76256761547097</v>
      </c>
      <c r="G94" s="147">
        <v>305.95957189426667</v>
      </c>
      <c r="H94" s="147">
        <v>333.08924379057254</v>
      </c>
      <c r="I94" s="147">
        <v>367.0013336609548</v>
      </c>
      <c r="J94" s="204"/>
      <c r="L94" s="146">
        <f t="shared" ref="L94:L95" si="8">L93-0.01</f>
        <v>0.08</v>
      </c>
      <c r="M94" s="137">
        <v>15.017809119684179</v>
      </c>
      <c r="N94" s="137">
        <v>16.153580421844591</v>
      </c>
      <c r="O94" s="137">
        <v>17.516505984437085</v>
      </c>
      <c r="P94" s="137">
        <v>19.182303894272355</v>
      </c>
      <c r="Q94" s="137">
        <v>21.26455128156644</v>
      </c>
    </row>
    <row r="95" spans="2:17" ht="15" customHeight="1">
      <c r="B95" s="238" t="s">
        <v>223</v>
      </c>
      <c r="D95" s="149">
        <f t="shared" si="7"/>
        <v>7.0000000000000007E-2</v>
      </c>
      <c r="E95" s="147">
        <v>315.1293564742445</v>
      </c>
      <c r="F95" s="147">
        <v>343.18080266944185</v>
      </c>
      <c r="G95" s="147">
        <v>378.24511041343862</v>
      </c>
      <c r="H95" s="147">
        <v>423.32779179857721</v>
      </c>
      <c r="I95" s="147">
        <v>483.43803364542867</v>
      </c>
      <c r="J95" s="204"/>
      <c r="L95" s="149">
        <f t="shared" si="8"/>
        <v>7.0000000000000007E-2</v>
      </c>
      <c r="M95" s="137">
        <v>18.079542944314461</v>
      </c>
      <c r="N95" s="137">
        <v>19.801939021142026</v>
      </c>
      <c r="O95" s="137">
        <v>21.954934117176489</v>
      </c>
      <c r="P95" s="137">
        <v>24.723070669220792</v>
      </c>
      <c r="Q95" s="137">
        <v>28.413919405279859</v>
      </c>
    </row>
    <row r="96" spans="2:17" ht="15" customHeight="1">
      <c r="B96" s="238" t="s">
        <v>224</v>
      </c>
      <c r="E96" s="150"/>
      <c r="F96" s="150"/>
      <c r="G96" s="150"/>
      <c r="H96" s="150"/>
      <c r="I96" s="150"/>
      <c r="J96" s="205"/>
    </row>
    <row r="97" spans="2:17" ht="17.25" customHeight="1">
      <c r="B97" s="237"/>
      <c r="D97" s="138" t="s">
        <v>220</v>
      </c>
      <c r="E97" s="139"/>
      <c r="F97" s="139"/>
      <c r="G97" s="139"/>
      <c r="H97" s="139"/>
      <c r="I97" s="139"/>
      <c r="J97" s="200"/>
      <c r="L97" s="138" t="s">
        <v>300</v>
      </c>
      <c r="M97" s="139"/>
      <c r="N97" s="139"/>
      <c r="O97" s="139"/>
      <c r="P97" s="139"/>
      <c r="Q97" s="139"/>
    </row>
    <row r="98" spans="2:17" ht="15" customHeight="1">
      <c r="B98" s="237"/>
      <c r="E98" s="94" t="s">
        <v>225</v>
      </c>
      <c r="F98" s="94"/>
      <c r="G98" s="94"/>
      <c r="H98" s="94"/>
      <c r="I98" s="94"/>
      <c r="J98" s="202"/>
      <c r="M98" s="94" t="s">
        <v>225</v>
      </c>
      <c r="N98" s="94"/>
      <c r="O98" s="94"/>
      <c r="P98" s="94"/>
      <c r="Q98" s="94"/>
    </row>
    <row r="99" spans="2:17" ht="15" customHeight="1">
      <c r="B99" s="237"/>
      <c r="D99" s="151">
        <f ca="1">D73</f>
        <v>267.90285391623422</v>
      </c>
      <c r="E99" s="152">
        <f>F99-1</f>
        <v>11</v>
      </c>
      <c r="F99" s="152">
        <f>G99-1</f>
        <v>12</v>
      </c>
      <c r="G99" s="153">
        <v>13</v>
      </c>
      <c r="H99" s="152">
        <f>G99+1</f>
        <v>14</v>
      </c>
      <c r="I99" s="152">
        <f>H99+1</f>
        <v>15</v>
      </c>
      <c r="J99" s="206"/>
      <c r="L99" s="145">
        <f ca="1">D78</f>
        <v>15.179772923112115</v>
      </c>
      <c r="M99" s="152">
        <f>N99-1</f>
        <v>11</v>
      </c>
      <c r="N99" s="152">
        <f>O99-1</f>
        <v>12</v>
      </c>
      <c r="O99" s="153">
        <v>13</v>
      </c>
      <c r="P99" s="152">
        <f>O99+1</f>
        <v>14</v>
      </c>
      <c r="Q99" s="154">
        <f>P99+1</f>
        <v>15</v>
      </c>
    </row>
    <row r="100" spans="2:17" ht="15" customHeight="1">
      <c r="B100" s="237"/>
      <c r="D100" s="146">
        <f t="shared" ref="D100" si="9">D101+0.01</f>
        <v>0.10999999999999999</v>
      </c>
      <c r="E100" s="147">
        <f t="dataTable" ref="E100:I104" dt2D="1" dtr="1" r1="I43" r2="H4" ca="1"/>
        <v>218.70264851438947</v>
      </c>
      <c r="F100" s="147">
        <v>232.28359292748402</v>
      </c>
      <c r="G100" s="147">
        <v>245.86453734057858</v>
      </c>
      <c r="H100" s="147">
        <v>259.44548175367311</v>
      </c>
      <c r="I100" s="147">
        <v>273.02642616676769</v>
      </c>
      <c r="J100" s="204"/>
      <c r="L100" s="146">
        <f t="shared" ref="L100" si="10">L101+0.01</f>
        <v>0.10999999999999999</v>
      </c>
      <c r="M100" s="137">
        <f t="dataTable" ref="M100:Q104" dt2D="1" dtr="1" r1="I43" r2="H4" ca="1"/>
        <v>12.158814924242293</v>
      </c>
      <c r="N100" s="137">
        <v>12.992702960315533</v>
      </c>
      <c r="O100" s="137">
        <v>13.826590996388775</v>
      </c>
      <c r="P100" s="137">
        <v>14.660479032462016</v>
      </c>
      <c r="Q100" s="137">
        <v>15.494367068535258</v>
      </c>
    </row>
    <row r="101" spans="2:17" ht="15" customHeight="1">
      <c r="B101" s="237"/>
      <c r="D101" s="146">
        <f>D102+0.01</f>
        <v>9.9999999999999992E-2</v>
      </c>
      <c r="E101" s="147">
        <v>226.2526321036521</v>
      </c>
      <c r="F101" s="147">
        <v>240.40982073125426</v>
      </c>
      <c r="G101" s="147">
        <v>254.56700935885635</v>
      </c>
      <c r="H101" s="147">
        <v>268.72419798645848</v>
      </c>
      <c r="I101" s="147">
        <v>282.8813866140606</v>
      </c>
      <c r="J101" s="204"/>
      <c r="L101" s="146">
        <f>L102+0.01</f>
        <v>9.9999999999999992E-2</v>
      </c>
      <c r="M101" s="137">
        <v>12.622393950570173</v>
      </c>
      <c r="N101" s="137">
        <v>13.491664147244187</v>
      </c>
      <c r="O101" s="137">
        <v>14.360934343918201</v>
      </c>
      <c r="P101" s="137">
        <v>15.230204540592213</v>
      </c>
      <c r="Q101" s="137">
        <v>16.099474737266231</v>
      </c>
    </row>
    <row r="102" spans="2:17" ht="15" customHeight="1">
      <c r="B102" s="237"/>
      <c r="C102" s="95" t="s">
        <v>222</v>
      </c>
      <c r="D102" s="148">
        <v>0.09</v>
      </c>
      <c r="E102" s="147">
        <v>234.18244617024146</v>
      </c>
      <c r="F102" s="147">
        <v>248.94593096020927</v>
      </c>
      <c r="G102" s="147">
        <v>263.70941575017707</v>
      </c>
      <c r="H102" s="147">
        <v>278.47290054014485</v>
      </c>
      <c r="I102" s="147">
        <v>293.23638533011263</v>
      </c>
      <c r="J102" s="204"/>
      <c r="K102" s="95" t="s">
        <v>222</v>
      </c>
      <c r="L102" s="148">
        <v>0.09</v>
      </c>
      <c r="M102" s="137">
        <v>13.109295073001569</v>
      </c>
      <c r="N102" s="137">
        <v>14.015792659813959</v>
      </c>
      <c r="O102" s="137">
        <v>14.922290246626348</v>
      </c>
      <c r="P102" s="137">
        <v>15.828787833438737</v>
      </c>
      <c r="Q102" s="137">
        <v>16.735285420251124</v>
      </c>
    </row>
    <row r="103" spans="2:17" ht="15" customHeight="1">
      <c r="B103" s="237"/>
      <c r="D103" s="146">
        <f t="shared" ref="D103:D104" si="11">D102-0.01</f>
        <v>0.08</v>
      </c>
      <c r="E103" s="147">
        <v>242.51523028681692</v>
      </c>
      <c r="F103" s="147">
        <v>257.91692805977232</v>
      </c>
      <c r="G103" s="147">
        <v>273.31862583272766</v>
      </c>
      <c r="H103" s="147">
        <v>288.72032360568301</v>
      </c>
      <c r="I103" s="147">
        <v>304.12202137863835</v>
      </c>
      <c r="J103" s="204"/>
      <c r="L103" s="146">
        <f t="shared" ref="L103:L104" si="12">L102-0.01</f>
        <v>0.08</v>
      </c>
      <c r="M103" s="137">
        <v>13.620939092050321</v>
      </c>
      <c r="N103" s="137">
        <v>14.566623804204806</v>
      </c>
      <c r="O103" s="137">
        <v>15.512308516359289</v>
      </c>
      <c r="P103" s="137">
        <v>16.457993228513772</v>
      </c>
      <c r="Q103" s="137">
        <v>17.403677940668256</v>
      </c>
    </row>
    <row r="104" spans="2:17" ht="15" customHeight="1">
      <c r="B104" s="237"/>
      <c r="D104" s="149">
        <f t="shared" si="11"/>
        <v>7.0000000000000007E-2</v>
      </c>
      <c r="E104" s="147">
        <v>251.27577482363185</v>
      </c>
      <c r="F104" s="147">
        <v>267.34960181647443</v>
      </c>
      <c r="G104" s="147">
        <v>283.42342880931687</v>
      </c>
      <c r="H104" s="147">
        <v>299.49725580215943</v>
      </c>
      <c r="I104" s="147">
        <v>315.57108279500193</v>
      </c>
      <c r="J104" s="204"/>
      <c r="L104" s="149">
        <f t="shared" si="12"/>
        <v>7.0000000000000007E-2</v>
      </c>
      <c r="M104" s="137">
        <v>14.158848169396451</v>
      </c>
      <c r="N104" s="137">
        <v>15.145802508913432</v>
      </c>
      <c r="O104" s="137">
        <v>16.132756848430404</v>
      </c>
      <c r="P104" s="137">
        <v>17.119711187947381</v>
      </c>
      <c r="Q104" s="137">
        <v>18.106665527464358</v>
      </c>
    </row>
    <row r="105" spans="2:17">
      <c r="J105" s="90"/>
    </row>
    <row r="106" spans="2:17">
      <c r="B106" s="121" t="s">
        <v>226</v>
      </c>
      <c r="C106" s="121"/>
      <c r="D106" s="121"/>
      <c r="E106" s="121"/>
      <c r="G106" s="121" t="s">
        <v>227</v>
      </c>
      <c r="H106" s="121"/>
      <c r="I106" s="121"/>
      <c r="J106" s="201"/>
      <c r="K106" s="121"/>
      <c r="L106" s="121"/>
      <c r="M106" s="121"/>
      <c r="N106" s="121"/>
      <c r="O106" s="121"/>
      <c r="P106" s="121"/>
    </row>
    <row r="107" spans="2:17">
      <c r="J107" s="90"/>
    </row>
    <row r="108" spans="2:17">
      <c r="J108" s="90"/>
    </row>
    <row r="109" spans="2:17">
      <c r="J109" s="90"/>
    </row>
    <row r="110" spans="2:17">
      <c r="J110" s="90"/>
    </row>
    <row r="111" spans="2:17">
      <c r="J111" s="90"/>
    </row>
    <row r="112" spans="2:17">
      <c r="J112" s="90"/>
    </row>
    <row r="113" spans="2:17">
      <c r="J113" s="90"/>
    </row>
    <row r="114" spans="2:17">
      <c r="J114" s="90"/>
    </row>
    <row r="115" spans="2:17">
      <c r="J115" s="90"/>
    </row>
    <row r="116" spans="2:17">
      <c r="J116" s="90"/>
    </row>
    <row r="117" spans="2:17">
      <c r="J117" s="90"/>
    </row>
    <row r="118" spans="2:17">
      <c r="J118" s="90"/>
    </row>
    <row r="119" spans="2:17">
      <c r="J119" s="90"/>
    </row>
    <row r="120" spans="2:17">
      <c r="J120" s="90"/>
      <c r="M120" s="106"/>
    </row>
    <row r="121" spans="2:17">
      <c r="J121" s="90"/>
    </row>
    <row r="122" spans="2:17">
      <c r="J122" s="90"/>
    </row>
    <row r="123" spans="2:17">
      <c r="J123" s="90"/>
    </row>
    <row r="124" spans="2:17">
      <c r="J124" s="90"/>
    </row>
    <row r="125" spans="2:17">
      <c r="J125" s="90"/>
    </row>
    <row r="126" spans="2:17">
      <c r="J126" s="90"/>
    </row>
    <row r="127" spans="2:17">
      <c r="B127" s="155"/>
      <c r="C127" s="156" t="s">
        <v>228</v>
      </c>
      <c r="D127" s="156" t="s">
        <v>229</v>
      </c>
      <c r="E127" s="157" t="s">
        <v>230</v>
      </c>
      <c r="G127" s="155"/>
      <c r="H127" s="128"/>
      <c r="I127" s="128"/>
      <c r="J127" s="207"/>
      <c r="K127" s="128"/>
      <c r="L127" s="128"/>
      <c r="M127" s="128"/>
      <c r="N127" s="128"/>
      <c r="O127" s="156" t="s">
        <v>228</v>
      </c>
      <c r="P127" s="156" t="s">
        <v>229</v>
      </c>
      <c r="Q127" s="157" t="s">
        <v>230</v>
      </c>
    </row>
    <row r="128" spans="2:17">
      <c r="B128" s="158" t="str">
        <f>"DCF Value at "&amp;TEXT(E99,"0.0x")&amp;"-"&amp;TEXT(I99,"0.0x")&amp;" Exit EBITDA Range at "&amp;TEXT(D102,"0.0%")&amp;" WACC"</f>
        <v>DCF Value at 11.0x-15.0x Exit EBITDA Range at 9.0% WACC</v>
      </c>
      <c r="C128" s="100">
        <f>E102</f>
        <v>234.18244617024146</v>
      </c>
      <c r="D128" s="100">
        <f>E128-C128</f>
        <v>59.053939159871163</v>
      </c>
      <c r="E128" s="159">
        <f>I102</f>
        <v>293.23638533011263</v>
      </c>
      <c r="G128" s="158" t="str">
        <f>"LTM EBITDA Purchase Multiple at "&amp;TEXT(M90,"0.0%")&amp;"-"&amp;TEXT(Q90,"0.0%")&amp;" Perpetuity Growth at "&amp;TEXT(L93,"0.0%")&amp;" WACC"</f>
        <v>LTM EBITDA Purchase Multiple at 2.0%-4.0% Perpetuity Growth at 9.0% WACC</v>
      </c>
      <c r="J128" s="90"/>
      <c r="O128" s="98">
        <f>M93</f>
        <v>12.832501802687379</v>
      </c>
      <c r="P128" s="98">
        <f>Q128-O128</f>
        <v>4.144000549505126</v>
      </c>
      <c r="Q128" s="160">
        <f>Q93</f>
        <v>16.976502352192504</v>
      </c>
    </row>
    <row r="129" spans="2:17">
      <c r="B129" s="161" t="str">
        <f>"DCF Value at "&amp;TEXT(E90,"0.0%")&amp;"-"&amp;TEXT(I90,"0.0%")&amp;" Perpetuity Range at "&amp;TEXT(D102,"0.0%")&amp;" WACC"</f>
        <v>DCF Value at 2.0%-4.0% Perpetuity Range at 9.0% WACC</v>
      </c>
      <c r="C129" s="100">
        <f>E93</f>
        <v>229.67451002601129</v>
      </c>
      <c r="D129" s="100">
        <f>E129-C129</f>
        <v>67.490404797844263</v>
      </c>
      <c r="E129" s="159">
        <f>I93</f>
        <v>297.16491482385555</v>
      </c>
      <c r="G129" s="161" t="str">
        <f>"LTM EBITDA Purchase Multiple at "&amp;TEXT(M102,"0.0x")&amp;"-"&amp;TEXT(Q102,"0.0x")&amp;" Exit EBITDA Multiple at "&amp;TEXT(L102,"0.0%")&amp;" WACC"</f>
        <v>LTM EBITDA Purchase Multiple at 13.1x-16.7x Exit EBITDA Multiple at 9.0% WACC</v>
      </c>
      <c r="J129" s="90"/>
      <c r="O129" s="98">
        <f>M102</f>
        <v>13.109295073001569</v>
      </c>
      <c r="P129" s="98">
        <f>Q129-O129</f>
        <v>3.6259903472495552</v>
      </c>
      <c r="Q129" s="160">
        <f>Q102</f>
        <v>16.735285420251124</v>
      </c>
    </row>
    <row r="130" spans="2:17">
      <c r="B130" s="162" t="s">
        <v>231</v>
      </c>
      <c r="C130" s="283">
        <v>169.5</v>
      </c>
      <c r="D130" s="163">
        <f>E130-C130</f>
        <v>158.35000000000002</v>
      </c>
      <c r="E130" s="284">
        <v>327.85</v>
      </c>
      <c r="G130" s="162" t="str">
        <f>"LTM EBITDA Purchase Multiple at "&amp;TEXT(L104,"0.0%")&amp;"-"&amp;TEXT(L100,"0.0%")&amp;" WACC at "&amp;TEXT(O99,"0.0x")&amp;" Exit EBITDA"</f>
        <v>LTM EBITDA Purchase Multiple at 7.0%-11.0% WACC at 13.0x Exit EBITDA</v>
      </c>
      <c r="H130" s="5"/>
      <c r="I130" s="5"/>
      <c r="J130" s="208"/>
      <c r="K130" s="5"/>
      <c r="L130" s="5"/>
      <c r="M130" s="5"/>
      <c r="N130" s="5"/>
      <c r="O130" s="163">
        <f>O100</f>
        <v>13.826590996388775</v>
      </c>
      <c r="P130" s="163">
        <f>Q130-O130</f>
        <v>2.3061658520416284</v>
      </c>
      <c r="Q130" s="164">
        <f>O104</f>
        <v>16.132756848430404</v>
      </c>
    </row>
    <row r="131" spans="2:17">
      <c r="J131" s="90"/>
    </row>
    <row r="132" spans="2:17">
      <c r="J132" s="90"/>
    </row>
  </sheetData>
  <conditionalFormatting sqref="E91:J95 E100:J104">
    <cfRule type="cellIs" dxfId="0" priority="2" operator="lessThan">
      <formula>$C$7</formula>
    </cfRule>
  </conditionalFormatting>
  <dataValidations disablePrompts="1" count="1">
    <dataValidation type="list" allowBlank="1" showInputMessage="1" showErrorMessage="1" sqref="H7" xr:uid="{70FEA041-049D-4AA0-839D-6B4906A337C0}">
      <formula1>"0,1"</formula1>
    </dataValidation>
  </dataValidations>
  <pageMargins left="0.7" right="0.7" top="0.75" bottom="0.75" header="0.3" footer="0.3"/>
  <pageSetup orientation="portrait" r:id="rId1"/>
  <ignoredErrors>
    <ignoredError sqref="D32" formulaRange="1"/>
  </ignoredError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E1C5C1-F04F-434A-9A5E-BC69E4365F9F}">
  <sheetPr>
    <tabColor theme="9"/>
  </sheetPr>
  <dimension ref="B1:Q126"/>
  <sheetViews>
    <sheetView tabSelected="1" zoomScaleNormal="100" workbookViewId="0">
      <selection activeCell="G93" sqref="G93"/>
    </sheetView>
  </sheetViews>
  <sheetFormatPr defaultColWidth="9.08984375" defaultRowHeight="14.5"/>
  <cols>
    <col min="1" max="1" width="1.453125" customWidth="1"/>
    <col min="2" max="2" width="54.453125" customWidth="1"/>
    <col min="3" max="3" width="13.453125" customWidth="1"/>
    <col min="4" max="8" width="12.6328125" customWidth="1"/>
    <col min="9" max="9" width="13" bestFit="1" customWidth="1"/>
    <col min="10" max="10" width="1.81640625" customWidth="1"/>
    <col min="11" max="11" width="43" customWidth="1"/>
    <col min="12" max="16" width="9.453125" customWidth="1"/>
  </cols>
  <sheetData>
    <row r="1" spans="2:11" ht="15" thickBot="1"/>
    <row r="2" spans="2:11" ht="15" thickBot="1">
      <c r="B2" s="336" t="s">
        <v>316</v>
      </c>
      <c r="C2" s="41"/>
      <c r="D2" s="41"/>
      <c r="E2" s="41"/>
      <c r="F2" s="41"/>
      <c r="G2" s="41"/>
      <c r="H2" s="41"/>
      <c r="I2" s="41"/>
    </row>
    <row r="3" spans="2:11" ht="15" customHeight="1">
      <c r="B3" s="337" t="str">
        <f>'Financials '!$B$3</f>
        <v xml:space="preserve">$ and shares in millions, except per share data </v>
      </c>
    </row>
    <row r="4" spans="2:11" ht="15" customHeight="1">
      <c r="B4" t="s">
        <v>318</v>
      </c>
      <c r="D4" s="277">
        <v>43736</v>
      </c>
      <c r="F4" t="s">
        <v>198</v>
      </c>
      <c r="H4" s="313">
        <v>0.09</v>
      </c>
    </row>
    <row r="5" spans="2:11">
      <c r="B5" t="s">
        <v>319</v>
      </c>
      <c r="D5" s="325">
        <v>44104</v>
      </c>
      <c r="F5" t="s">
        <v>317</v>
      </c>
      <c r="H5" s="247">
        <v>273.52</v>
      </c>
    </row>
    <row r="6" spans="2:11">
      <c r="B6" t="s">
        <v>320</v>
      </c>
      <c r="D6" s="277">
        <v>43827</v>
      </c>
      <c r="F6" t="s">
        <v>342</v>
      </c>
      <c r="H6" s="267">
        <v>43888</v>
      </c>
      <c r="J6" s="193"/>
    </row>
    <row r="7" spans="2:11">
      <c r="B7" t="s">
        <v>321</v>
      </c>
      <c r="D7" s="277">
        <v>43889</v>
      </c>
      <c r="F7" t="s">
        <v>350</v>
      </c>
      <c r="H7" s="285">
        <v>0</v>
      </c>
      <c r="I7" s="193"/>
      <c r="J7" s="193"/>
    </row>
    <row r="8" spans="2:11">
      <c r="B8" t="s">
        <v>343</v>
      </c>
      <c r="D8" s="245">
        <f>YEARFRAC(D7,D5)</f>
        <v>0.58888888888888891</v>
      </c>
    </row>
    <row r="9" spans="2:11">
      <c r="D9" s="120"/>
    </row>
    <row r="10" spans="2:11">
      <c r="B10" s="92" t="s">
        <v>265</v>
      </c>
      <c r="C10" s="56"/>
      <c r="D10" s="234"/>
      <c r="F10" s="56"/>
      <c r="G10" s="56"/>
      <c r="H10" s="56"/>
      <c r="I10" s="56"/>
    </row>
    <row r="11" spans="2:11" ht="17.25" customHeight="1">
      <c r="C11" s="139"/>
      <c r="D11" s="139" t="s">
        <v>263</v>
      </c>
      <c r="E11" s="246" t="s">
        <v>264</v>
      </c>
      <c r="F11" s="139"/>
      <c r="G11" s="139"/>
      <c r="H11" s="139"/>
      <c r="I11" s="139"/>
    </row>
    <row r="12" spans="2:11">
      <c r="B12" s="10" t="s">
        <v>338</v>
      </c>
      <c r="C12" s="222"/>
      <c r="D12" s="278">
        <f>D4</f>
        <v>43736</v>
      </c>
      <c r="E12" s="279">
        <f>EOMONTH(D12,12)</f>
        <v>44104</v>
      </c>
      <c r="F12" s="279">
        <f t="shared" ref="F12:I12" si="0">EOMONTH(E12,12)</f>
        <v>44469</v>
      </c>
      <c r="G12" s="279">
        <f t="shared" si="0"/>
        <v>44834</v>
      </c>
      <c r="H12" s="279">
        <f t="shared" si="0"/>
        <v>45199</v>
      </c>
      <c r="I12" s="279">
        <f t="shared" si="0"/>
        <v>45565</v>
      </c>
    </row>
    <row r="13" spans="2:11">
      <c r="B13" s="10"/>
      <c r="D13" s="180"/>
      <c r="E13" s="179"/>
      <c r="F13" s="179"/>
      <c r="G13" s="179"/>
      <c r="H13" s="179"/>
      <c r="I13" s="179"/>
    </row>
    <row r="14" spans="2:11">
      <c r="B14" t="s">
        <v>11</v>
      </c>
      <c r="C14" s="125"/>
      <c r="D14" s="249">
        <v>260174</v>
      </c>
      <c r="E14" s="248">
        <f>D14*(1+E15)</f>
        <v>280987.92000000004</v>
      </c>
      <c r="F14" s="248">
        <f t="shared" ref="F14:I14" si="1">E14*(1+F15)</f>
        <v>306276.83280000009</v>
      </c>
      <c r="G14" s="248">
        <f t="shared" si="1"/>
        <v>324653.44276800012</v>
      </c>
      <c r="H14" s="248">
        <f t="shared" si="1"/>
        <v>344132.64933408017</v>
      </c>
      <c r="I14" s="248">
        <f t="shared" si="1"/>
        <v>364780.60829412501</v>
      </c>
      <c r="K14" t="s">
        <v>381</v>
      </c>
    </row>
    <row r="15" spans="2:11">
      <c r="B15" s="17" t="s">
        <v>154</v>
      </c>
      <c r="D15" s="251"/>
      <c r="E15" s="252">
        <v>0.08</v>
      </c>
      <c r="F15" s="252">
        <v>0.09</v>
      </c>
      <c r="G15" s="252">
        <v>0.06</v>
      </c>
      <c r="H15" s="252">
        <v>0.06</v>
      </c>
      <c r="I15" s="252">
        <v>0.06</v>
      </c>
      <c r="K15" s="102"/>
    </row>
    <row r="16" spans="2:11">
      <c r="B16" t="s">
        <v>45</v>
      </c>
      <c r="C16" s="125"/>
      <c r="D16" s="253">
        <f>D18+D25</f>
        <v>76477</v>
      </c>
      <c r="E16" s="253">
        <f>E14*E17</f>
        <v>81486.496800000008</v>
      </c>
      <c r="F16" s="253">
        <f t="shared" ref="F16:I16" si="2">F14*F17</f>
        <v>88820.281512000016</v>
      </c>
      <c r="G16" s="253">
        <f t="shared" si="2"/>
        <v>92526.231188880032</v>
      </c>
      <c r="H16" s="253">
        <f t="shared" si="2"/>
        <v>98077.805060212835</v>
      </c>
      <c r="I16" s="253">
        <f t="shared" si="2"/>
        <v>102138.57032235501</v>
      </c>
      <c r="K16" t="s">
        <v>382</v>
      </c>
    </row>
    <row r="17" spans="2:13">
      <c r="B17" s="17" t="s">
        <v>253</v>
      </c>
      <c r="D17" s="250">
        <f>D16/D14</f>
        <v>0.29394559025882677</v>
      </c>
      <c r="E17" s="252">
        <v>0.28999999999999998</v>
      </c>
      <c r="F17" s="252">
        <v>0.28999999999999998</v>
      </c>
      <c r="G17" s="252">
        <v>0.28499999999999998</v>
      </c>
      <c r="H17" s="252">
        <v>0.28499999999999998</v>
      </c>
      <c r="I17" s="252">
        <v>0.28000000000000003</v>
      </c>
    </row>
    <row r="18" spans="2:13">
      <c r="B18" t="s">
        <v>201</v>
      </c>
      <c r="D18" s="249">
        <v>63930</v>
      </c>
      <c r="E18" s="248">
        <f>E14*E19</f>
        <v>69123.028320000012</v>
      </c>
      <c r="F18" s="248">
        <f t="shared" ref="F18:I18" si="3">F14*F19</f>
        <v>76569.208200000023</v>
      </c>
      <c r="G18" s="248">
        <f t="shared" si="3"/>
        <v>81163.360692000031</v>
      </c>
      <c r="H18" s="248">
        <f t="shared" si="3"/>
        <v>87753.825580190445</v>
      </c>
      <c r="I18" s="248">
        <f t="shared" si="3"/>
        <v>91195.152073531252</v>
      </c>
      <c r="K18" t="s">
        <v>383</v>
      </c>
    </row>
    <row r="19" spans="2:13">
      <c r="B19" s="17" t="s">
        <v>253</v>
      </c>
      <c r="D19" s="250">
        <f>D18/D14</f>
        <v>0.24572017188496928</v>
      </c>
      <c r="E19" s="252">
        <v>0.246</v>
      </c>
      <c r="F19" s="252">
        <v>0.25</v>
      </c>
      <c r="G19" s="252">
        <v>0.25</v>
      </c>
      <c r="H19" s="252">
        <v>0.255</v>
      </c>
      <c r="I19" s="252">
        <v>0.25</v>
      </c>
    </row>
    <row r="20" spans="2:13">
      <c r="B20" s="17"/>
      <c r="D20" s="181"/>
      <c r="E20" s="105"/>
      <c r="F20" s="105"/>
      <c r="G20" s="105"/>
      <c r="H20" s="105"/>
      <c r="I20" s="105"/>
    </row>
    <row r="21" spans="2:13" ht="15" customHeight="1">
      <c r="B21" t="s">
        <v>341</v>
      </c>
      <c r="C21" s="125"/>
      <c r="D21" s="253">
        <f>D22*D18</f>
        <v>10164.870000000001</v>
      </c>
      <c r="E21" s="248">
        <f>E18*E22</f>
        <v>10921.438474560002</v>
      </c>
      <c r="F21" s="248">
        <f t="shared" ref="F21:I21" si="4">F18*F22</f>
        <v>12710.488561200005</v>
      </c>
      <c r="G21" s="248">
        <f t="shared" si="4"/>
        <v>13554.281235564005</v>
      </c>
      <c r="H21" s="248">
        <f t="shared" si="4"/>
        <v>15181.411825372947</v>
      </c>
      <c r="I21" s="248">
        <f t="shared" si="4"/>
        <v>15776.761308720905</v>
      </c>
      <c r="K21" t="s">
        <v>384</v>
      </c>
    </row>
    <row r="22" spans="2:13" ht="15" customHeight="1">
      <c r="B22" s="17" t="s">
        <v>0</v>
      </c>
      <c r="D22" s="257">
        <v>0.159</v>
      </c>
      <c r="E22" s="313">
        <v>0.158</v>
      </c>
      <c r="F22" s="313">
        <v>0.16600000000000001</v>
      </c>
      <c r="G22" s="313">
        <v>0.16700000000000001</v>
      </c>
      <c r="H22" s="313">
        <v>0.17299999999999999</v>
      </c>
      <c r="I22" s="313">
        <v>0.17299999999999999</v>
      </c>
    </row>
    <row r="23" spans="2:13" ht="15" customHeight="1">
      <c r="B23" s="13" t="s">
        <v>276</v>
      </c>
      <c r="C23" s="13"/>
      <c r="D23" s="258">
        <f>D18-D21</f>
        <v>53765.13</v>
      </c>
      <c r="E23" s="258">
        <f t="shared" ref="E23:I23" si="5">E18-E21</f>
        <v>58201.589845440009</v>
      </c>
      <c r="F23" s="258">
        <f t="shared" si="5"/>
        <v>63858.719638800016</v>
      </c>
      <c r="G23" s="258">
        <f t="shared" si="5"/>
        <v>67609.079456436026</v>
      </c>
      <c r="H23" s="258">
        <f t="shared" si="5"/>
        <v>72572.413754817506</v>
      </c>
      <c r="I23" s="258">
        <f t="shared" si="5"/>
        <v>75418.390764810349</v>
      </c>
      <c r="K23" t="s">
        <v>385</v>
      </c>
    </row>
    <row r="24" spans="2:13">
      <c r="D24" s="184"/>
      <c r="E24" s="125"/>
      <c r="F24" s="125"/>
      <c r="G24" s="125"/>
      <c r="H24" s="125"/>
      <c r="I24" s="125"/>
    </row>
    <row r="25" spans="2:13" ht="15" customHeight="1">
      <c r="B25" t="s">
        <v>47</v>
      </c>
      <c r="D25" s="249">
        <v>12547</v>
      </c>
      <c r="E25" s="248">
        <f>E16-E18</f>
        <v>12363.468479999996</v>
      </c>
      <c r="F25" s="248">
        <f t="shared" ref="F25:I25" si="6">F16-F18</f>
        <v>12251.073311999993</v>
      </c>
      <c r="G25" s="248">
        <f t="shared" si="6"/>
        <v>11362.870496880001</v>
      </c>
      <c r="H25" s="248">
        <f t="shared" si="6"/>
        <v>10323.97948002239</v>
      </c>
      <c r="I25" s="248">
        <f t="shared" si="6"/>
        <v>10943.418248823757</v>
      </c>
      <c r="K25" t="s">
        <v>386</v>
      </c>
      <c r="M25" s="49"/>
    </row>
    <row r="26" spans="2:13" ht="15" customHeight="1">
      <c r="B26" t="s">
        <v>202</v>
      </c>
      <c r="D26" s="256">
        <f t="shared" ref="D26" si="7">C32-D32</f>
        <v>-2927</v>
      </c>
      <c r="E26" s="256">
        <f t="shared" ref="E26" si="8">D32-E32</f>
        <v>2177.2800000000061</v>
      </c>
      <c r="F26" s="256">
        <f t="shared" ref="F26" si="9">E32-F32</f>
        <v>2645.3952000000063</v>
      </c>
      <c r="G26" s="256">
        <f t="shared" ref="G26" si="10">F32-G32</f>
        <v>1922.3205120000057</v>
      </c>
      <c r="H26" s="256">
        <f t="shared" ref="H26" si="11">G32-H32</f>
        <v>2037.6597427200031</v>
      </c>
      <c r="I26" s="256">
        <f t="shared" ref="I26" si="12">H32-I32</f>
        <v>2159.9193272832053</v>
      </c>
      <c r="K26" t="s">
        <v>388</v>
      </c>
      <c r="M26" s="96"/>
    </row>
    <row r="27" spans="2:13" ht="15" customHeight="1">
      <c r="B27" t="s">
        <v>34</v>
      </c>
      <c r="D27" s="249">
        <v>-10495</v>
      </c>
      <c r="E27" s="256">
        <f>E14*E28*(-1)</f>
        <v>-11334.6</v>
      </c>
      <c r="F27" s="256">
        <f>F14*F28*(-1)</f>
        <v>-11944.796479200004</v>
      </c>
      <c r="G27" s="256">
        <f>G14*G28*(-1)</f>
        <v>-12336.830825184004</v>
      </c>
      <c r="H27" s="256">
        <f>H14*H28*(-1)</f>
        <v>-12732.908025360966</v>
      </c>
      <c r="I27" s="256">
        <f>I14*I28*(-1)</f>
        <v>-13132.101898588498</v>
      </c>
      <c r="K27" t="s">
        <v>389</v>
      </c>
      <c r="M27" s="96"/>
    </row>
    <row r="28" spans="2:13" ht="15" customHeight="1">
      <c r="B28" s="17" t="s">
        <v>126</v>
      </c>
      <c r="D28" s="255">
        <f>-(D27/D14)</f>
        <v>4.033838892433525E-2</v>
      </c>
      <c r="E28" s="252">
        <f>D28</f>
        <v>4.033838892433525E-2</v>
      </c>
      <c r="F28" s="252">
        <v>3.9E-2</v>
      </c>
      <c r="G28" s="252">
        <v>3.7999999999999999E-2</v>
      </c>
      <c r="H28" s="252">
        <v>3.6999999999999998E-2</v>
      </c>
      <c r="I28" s="252">
        <v>3.5999999999999997E-2</v>
      </c>
      <c r="M28" s="96"/>
    </row>
    <row r="29" spans="2:13">
      <c r="D29" s="104"/>
      <c r="E29" s="2"/>
      <c r="F29" s="2"/>
      <c r="G29" s="2"/>
      <c r="H29" s="2"/>
      <c r="I29" s="2"/>
      <c r="M29" s="96"/>
    </row>
    <row r="30" spans="2:13">
      <c r="B30" s="13" t="s">
        <v>344</v>
      </c>
      <c r="C30" s="13"/>
      <c r="D30" s="124"/>
      <c r="E30" s="254">
        <f>E23+E25+E26+E27</f>
        <v>61407.738325440012</v>
      </c>
      <c r="F30" s="254">
        <f t="shared" ref="F30:I30" si="13">F23+F25+F26+F27</f>
        <v>66810.391671600009</v>
      </c>
      <c r="G30" s="254">
        <f t="shared" si="13"/>
        <v>68557.439640132026</v>
      </c>
      <c r="H30" s="254">
        <f t="shared" si="13"/>
        <v>72201.144952198927</v>
      </c>
      <c r="I30" s="254">
        <f t="shared" si="13"/>
        <v>75389.626442328808</v>
      </c>
      <c r="K30" t="s">
        <v>390</v>
      </c>
      <c r="M30" s="124"/>
    </row>
    <row r="31" spans="2:13">
      <c r="D31" s="105"/>
      <c r="M31" s="96"/>
    </row>
    <row r="32" spans="2:13">
      <c r="B32" t="s">
        <v>275</v>
      </c>
      <c r="C32" s="259">
        <f>23186+3956+25809+12087-55888-33327-5966</f>
        <v>-30143</v>
      </c>
      <c r="D32" s="259">
        <f>22926+4106+22878+12352-46236-37720-5522</f>
        <v>-27216</v>
      </c>
      <c r="E32" s="248">
        <f>E14*E33</f>
        <v>-29393.280000000006</v>
      </c>
      <c r="F32" s="248">
        <f t="shared" ref="F32:I32" si="14">F14*F33</f>
        <v>-32038.675200000012</v>
      </c>
      <c r="G32" s="248">
        <f t="shared" si="14"/>
        <v>-33960.995712000018</v>
      </c>
      <c r="H32" s="248">
        <f t="shared" si="14"/>
        <v>-35998.655454720021</v>
      </c>
      <c r="I32" s="248">
        <f t="shared" si="14"/>
        <v>-38158.574782003227</v>
      </c>
      <c r="K32" t="s">
        <v>387</v>
      </c>
    </row>
    <row r="33" spans="2:13">
      <c r="B33" s="17" t="s">
        <v>126</v>
      </c>
      <c r="D33" s="245">
        <f>D32/D14</f>
        <v>-0.10460691690945291</v>
      </c>
      <c r="E33" s="245">
        <f>D33</f>
        <v>-0.10460691690945291</v>
      </c>
      <c r="F33" s="245">
        <f t="shared" ref="F33:I33" si="15">E33</f>
        <v>-0.10460691690945291</v>
      </c>
      <c r="G33" s="245">
        <f t="shared" si="15"/>
        <v>-0.10460691690945291</v>
      </c>
      <c r="H33" s="245">
        <f t="shared" si="15"/>
        <v>-0.10460691690945291</v>
      </c>
      <c r="I33" s="245">
        <f t="shared" si="15"/>
        <v>-0.10460691690945291</v>
      </c>
      <c r="J33" s="105"/>
    </row>
    <row r="34" spans="2:13">
      <c r="D34" s="105"/>
      <c r="E34" s="91"/>
      <c r="F34" s="91"/>
      <c r="G34" s="91"/>
      <c r="H34" s="91"/>
      <c r="I34" s="91"/>
      <c r="J34" s="105"/>
      <c r="K34" s="23"/>
      <c r="M34" s="91"/>
    </row>
    <row r="35" spans="2:13">
      <c r="B35" s="92" t="str">
        <f>"Present value of UFCF on "&amp;TEXT(D7,"mmm dd, yyyy")&amp;" valuation date"</f>
        <v>Present value of UFCF on Feb 28, 2020 valuation date</v>
      </c>
      <c r="C35" s="56"/>
      <c r="D35" s="209"/>
      <c r="E35" s="56"/>
      <c r="F35" s="209"/>
      <c r="G35" s="209"/>
      <c r="H35" s="209"/>
      <c r="I35" s="209"/>
      <c r="J35" s="105"/>
    </row>
    <row r="36" spans="2:13" ht="16">
      <c r="B36" s="13"/>
      <c r="D36" s="213" t="s">
        <v>269</v>
      </c>
      <c r="E36" s="213" t="s">
        <v>274</v>
      </c>
      <c r="F36" s="214" t="s">
        <v>270</v>
      </c>
      <c r="G36" s="214" t="s">
        <v>271</v>
      </c>
      <c r="H36" s="214" t="s">
        <v>272</v>
      </c>
      <c r="I36" s="214" t="s">
        <v>273</v>
      </c>
      <c r="J36" s="105"/>
    </row>
    <row r="37" spans="2:13">
      <c r="B37" t="s">
        <v>267</v>
      </c>
      <c r="C37" s="326" t="s">
        <v>367</v>
      </c>
      <c r="D37" s="122">
        <f>D7</f>
        <v>43889</v>
      </c>
      <c r="E37" s="122">
        <f>IF($H$7=0,E12,AVERAGE(D37,E12))</f>
        <v>44104</v>
      </c>
      <c r="F37" s="122">
        <f>IF($H$7=0,F12,AVERAGE(F12,E12))</f>
        <v>44469</v>
      </c>
      <c r="G37" s="122">
        <f>IF($H$7=0,G12,AVERAGE(G12,F12))</f>
        <v>44834</v>
      </c>
      <c r="H37" s="122">
        <f>IF($H$7=0,H12,AVERAGE(H12,G12))</f>
        <v>45199</v>
      </c>
      <c r="I37" s="122">
        <f>IF($H$7=0,I12,AVERAGE(I12,H12))</f>
        <v>45565</v>
      </c>
      <c r="J37" s="105"/>
    </row>
    <row r="38" spans="2:13">
      <c r="B38" t="s">
        <v>268</v>
      </c>
      <c r="C38" s="339">
        <f>D8</f>
        <v>0.58888888888888891</v>
      </c>
      <c r="D38" s="96"/>
      <c r="E38" s="260">
        <f>E30*C38</f>
        <v>36162.334791648005</v>
      </c>
      <c r="F38" s="260">
        <f>F30</f>
        <v>66810.391671600009</v>
      </c>
      <c r="G38" s="260">
        <f t="shared" ref="G38:I38" si="16">G30</f>
        <v>68557.439640132026</v>
      </c>
      <c r="H38" s="260">
        <f t="shared" si="16"/>
        <v>72201.144952198927</v>
      </c>
      <c r="I38" s="260">
        <f t="shared" si="16"/>
        <v>75389.626442328808</v>
      </c>
      <c r="J38" s="125"/>
      <c r="K38" t="s">
        <v>203</v>
      </c>
    </row>
    <row r="39" spans="2:13" ht="15" customHeight="1">
      <c r="B39" s="13" t="s">
        <v>254</v>
      </c>
      <c r="C39" s="72"/>
      <c r="E39" s="254">
        <f>E38/(1+$H$4)^((E37-$D$37)/365)</f>
        <v>34372.468070995172</v>
      </c>
      <c r="F39" s="254">
        <f t="shared" ref="F39:I39" si="17">F38/(1+$H$4)^((F37-$D$37)/365)</f>
        <v>58260.17361403392</v>
      </c>
      <c r="G39" s="254">
        <f t="shared" si="17"/>
        <v>54847.375213211897</v>
      </c>
      <c r="H39" s="254">
        <f t="shared" si="17"/>
        <v>52993.041393948159</v>
      </c>
      <c r="I39" s="254">
        <f t="shared" si="17"/>
        <v>50752.485512159132</v>
      </c>
      <c r="J39" s="125"/>
    </row>
    <row r="41" spans="2:13">
      <c r="B41" s="92" t="s">
        <v>204</v>
      </c>
      <c r="C41" s="92"/>
      <c r="E41" s="92" t="s">
        <v>205</v>
      </c>
      <c r="F41" s="56"/>
      <c r="G41" s="56"/>
      <c r="H41" s="56"/>
      <c r="I41" s="56"/>
    </row>
    <row r="42" spans="2:13">
      <c r="B42" t="s">
        <v>206</v>
      </c>
      <c r="C42" s="252">
        <v>0.03</v>
      </c>
      <c r="E42" t="s">
        <v>261</v>
      </c>
      <c r="I42" s="261">
        <f>I16</f>
        <v>102138.57032235501</v>
      </c>
      <c r="J42" s="96"/>
    </row>
    <row r="43" spans="2:13">
      <c r="B43" s="129" t="str">
        <f>YEAR(I12)&amp;" FCF x (1+g)"</f>
        <v>2024 FCF x (1+g)</v>
      </c>
      <c r="C43" s="261">
        <f>I30*(1+C42)</f>
        <v>77651.315235598668</v>
      </c>
      <c r="E43" t="s">
        <v>207</v>
      </c>
      <c r="I43" s="263">
        <v>12.5</v>
      </c>
      <c r="J43" s="187"/>
    </row>
    <row r="44" spans="2:13">
      <c r="B44" t="str">
        <f>"Terminal value in "&amp;YEAR(I12)</f>
        <v>Terminal value in 2024</v>
      </c>
      <c r="C44" s="261">
        <f>C43/(H4-C42)</f>
        <v>1294188.5872599778</v>
      </c>
      <c r="E44" t="str">
        <f>"Terminal value in "&amp;YEAR(I12)</f>
        <v>Terminal value in 2024</v>
      </c>
      <c r="I44" s="261">
        <f>I42*I43</f>
        <v>1276732.1290294377</v>
      </c>
      <c r="J44" s="96"/>
    </row>
    <row r="45" spans="2:13">
      <c r="B45" t="s">
        <v>258</v>
      </c>
      <c r="C45" s="261">
        <f>C44/(1+H4)^((I37-D37)/365)</f>
        <v>871251.00129206502</v>
      </c>
      <c r="E45" t="s">
        <v>258</v>
      </c>
      <c r="I45" s="261">
        <f>I44/(1+$H$4)^((I37-D37)/365)</f>
        <v>859499.26985038142</v>
      </c>
      <c r="J45" s="96"/>
    </row>
    <row r="46" spans="2:13">
      <c r="B46" t="s">
        <v>259</v>
      </c>
      <c r="C46" s="248">
        <f>SUM(E39:I39)</f>
        <v>251225.54380434827</v>
      </c>
      <c r="E46" t="s">
        <v>259</v>
      </c>
      <c r="I46" s="261">
        <f>SUM(E39:I39)</f>
        <v>251225.54380434827</v>
      </c>
      <c r="J46" s="96"/>
    </row>
    <row r="47" spans="2:13">
      <c r="B47" s="13" t="s">
        <v>256</v>
      </c>
      <c r="C47" s="262">
        <f>C45+C46</f>
        <v>1122476.5450964132</v>
      </c>
      <c r="D47" s="115"/>
      <c r="E47" s="13" t="s">
        <v>208</v>
      </c>
      <c r="I47" s="262">
        <f>I45+I46</f>
        <v>1110724.8136547296</v>
      </c>
      <c r="J47" s="123"/>
    </row>
    <row r="48" spans="2:13">
      <c r="D48" s="49"/>
    </row>
    <row r="49" spans="2:12">
      <c r="B49" s="185" t="s">
        <v>255</v>
      </c>
      <c r="C49" s="264">
        <f>C45/C47</f>
        <v>0.77618637565137749</v>
      </c>
      <c r="E49" s="185" t="s">
        <v>255</v>
      </c>
      <c r="I49" s="264">
        <f>I45/I47</f>
        <v>0.77381837452814661</v>
      </c>
      <c r="J49" s="130"/>
    </row>
    <row r="50" spans="2:12">
      <c r="B50" s="185" t="s">
        <v>260</v>
      </c>
      <c r="C50" s="264">
        <f>C46/C47</f>
        <v>0.22381362434862251</v>
      </c>
      <c r="E50" s="185" t="s">
        <v>260</v>
      </c>
      <c r="G50" s="131"/>
      <c r="I50" s="264">
        <f>I46/I47</f>
        <v>0.22618162547185344</v>
      </c>
      <c r="J50" s="49"/>
    </row>
    <row r="51" spans="2:12">
      <c r="B51" s="185" t="s">
        <v>210</v>
      </c>
      <c r="C51" s="266">
        <f>C44/I16</f>
        <v>12.670909561152527</v>
      </c>
      <c r="E51" t="s">
        <v>209</v>
      </c>
      <c r="I51" s="265">
        <f>(H4-I38/I44)/(1+I38/I44)</f>
        <v>2.9225374867615402E-2</v>
      </c>
      <c r="J51" s="194"/>
    </row>
    <row r="52" spans="2:12">
      <c r="B52" s="185"/>
      <c r="C52" s="10"/>
      <c r="D52" s="186"/>
      <c r="I52" s="194"/>
      <c r="J52" s="194"/>
    </row>
    <row r="53" spans="2:12">
      <c r="B53" s="92" t="s">
        <v>211</v>
      </c>
      <c r="C53" s="56"/>
      <c r="E53" s="92" t="s">
        <v>212</v>
      </c>
      <c r="F53" s="56"/>
      <c r="G53" s="92"/>
      <c r="H53" s="56"/>
      <c r="I53" s="56"/>
    </row>
    <row r="54" spans="2:12">
      <c r="B54" t="s">
        <v>326</v>
      </c>
      <c r="C54" s="267" t="s">
        <v>349</v>
      </c>
      <c r="L54" s="15"/>
    </row>
    <row r="55" spans="2:12">
      <c r="B55" s="26" t="s">
        <v>312</v>
      </c>
      <c r="C55" s="277">
        <v>43827</v>
      </c>
      <c r="G55" s="16" t="s">
        <v>326</v>
      </c>
      <c r="H55" s="97" t="s">
        <v>234</v>
      </c>
      <c r="I55" s="97" t="s">
        <v>294</v>
      </c>
    </row>
    <row r="56" spans="2:12">
      <c r="B56" s="220" t="s">
        <v>298</v>
      </c>
      <c r="C56" s="132"/>
      <c r="E56" t="s">
        <v>311</v>
      </c>
      <c r="G56" s="267" t="s">
        <v>349</v>
      </c>
      <c r="H56" s="267">
        <v>43847</v>
      </c>
      <c r="I56" s="269">
        <v>4375.4799999999996</v>
      </c>
      <c r="J56" s="195"/>
    </row>
    <row r="57" spans="2:12">
      <c r="B57" s="17" t="s">
        <v>246</v>
      </c>
      <c r="C57" s="101">
        <f>4990+10224+93078</f>
        <v>108292</v>
      </c>
      <c r="E57" s="26" t="s">
        <v>295</v>
      </c>
      <c r="G57" s="267" t="s">
        <v>349</v>
      </c>
      <c r="H57" s="267">
        <v>43827</v>
      </c>
      <c r="I57" s="269">
        <v>96.02</v>
      </c>
      <c r="J57" s="196"/>
    </row>
    <row r="58" spans="2:12" ht="15" customHeight="1">
      <c r="B58" s="17" t="s">
        <v>291</v>
      </c>
      <c r="C58" s="101">
        <v>0</v>
      </c>
      <c r="E58" s="26" t="s">
        <v>292</v>
      </c>
      <c r="G58" s="267"/>
      <c r="H58" s="267"/>
      <c r="I58" s="300">
        <v>0</v>
      </c>
    </row>
    <row r="59" spans="2:12" ht="15" customHeight="1">
      <c r="B59" s="17" t="s">
        <v>297</v>
      </c>
      <c r="C59" s="101">
        <v>0</v>
      </c>
      <c r="E59" t="s">
        <v>291</v>
      </c>
      <c r="G59" s="267"/>
      <c r="H59" s="267"/>
      <c r="I59" s="300">
        <v>0</v>
      </c>
    </row>
    <row r="60" spans="2:12">
      <c r="B60" s="219" t="s">
        <v>302</v>
      </c>
      <c r="C60" s="101">
        <v>0</v>
      </c>
      <c r="E60" t="s">
        <v>293</v>
      </c>
      <c r="G60" s="267"/>
      <c r="H60" s="267"/>
      <c r="I60" s="300">
        <v>0</v>
      </c>
    </row>
    <row r="61" spans="2:12" ht="15" customHeight="1">
      <c r="B61" s="220" t="s">
        <v>215</v>
      </c>
      <c r="E61" s="25" t="s">
        <v>216</v>
      </c>
      <c r="I61" s="270">
        <f>SUM(I56:I60)</f>
        <v>4471.5</v>
      </c>
      <c r="J61" s="197"/>
    </row>
    <row r="62" spans="2:12">
      <c r="B62" s="134" t="s">
        <v>301</v>
      </c>
      <c r="C62" s="101">
        <f>39771+67391+99899</f>
        <v>207061</v>
      </c>
      <c r="J62" s="133"/>
    </row>
    <row r="63" spans="2:12">
      <c r="B63" s="134" t="s">
        <v>299</v>
      </c>
      <c r="C63" s="101">
        <v>0</v>
      </c>
      <c r="J63" s="133"/>
    </row>
    <row r="64" spans="2:12">
      <c r="J64" s="198"/>
    </row>
    <row r="65" spans="2:17">
      <c r="B65" s="135" t="s">
        <v>211</v>
      </c>
      <c r="C65" s="268">
        <f>SUM(C57:C60)-SUM(C62:C63)</f>
        <v>-98769</v>
      </c>
    </row>
    <row r="67" spans="2:17">
      <c r="B67" s="92" t="s">
        <v>217</v>
      </c>
      <c r="C67" s="56"/>
      <c r="D67" s="56"/>
    </row>
    <row r="68" spans="2:17" ht="16">
      <c r="C68" s="225" t="s">
        <v>218</v>
      </c>
      <c r="D68" s="225" t="s">
        <v>45</v>
      </c>
    </row>
    <row r="69" spans="2:17">
      <c r="B69" t="s">
        <v>219</v>
      </c>
      <c r="C69" s="271">
        <f>C47</f>
        <v>1122476.5450964132</v>
      </c>
      <c r="D69" s="271">
        <f>I47</f>
        <v>1110724.8136547296</v>
      </c>
    </row>
    <row r="70" spans="2:17">
      <c r="B70" t="s">
        <v>211</v>
      </c>
      <c r="C70" s="272">
        <f>C65</f>
        <v>-98769</v>
      </c>
      <c r="D70" s="272">
        <f>C65</f>
        <v>-98769</v>
      </c>
    </row>
    <row r="71" spans="2:17">
      <c r="B71" t="s">
        <v>262</v>
      </c>
      <c r="C71" s="273">
        <f>C69-C70</f>
        <v>1221245.5450964132</v>
      </c>
      <c r="D71" s="273">
        <f>D69-D70</f>
        <v>1209493.8136547296</v>
      </c>
    </row>
    <row r="72" spans="2:17">
      <c r="B72" t="s">
        <v>212</v>
      </c>
      <c r="C72" s="273">
        <f>$I$61</f>
        <v>4471.5</v>
      </c>
      <c r="D72" s="273">
        <f>C72</f>
        <v>4471.5</v>
      </c>
    </row>
    <row r="73" spans="2:17">
      <c r="B73" s="13" t="s">
        <v>220</v>
      </c>
      <c r="C73" s="274">
        <f>C71/C72</f>
        <v>273.11764398891046</v>
      </c>
      <c r="D73" s="274">
        <f>D71/D72</f>
        <v>270.48950322145356</v>
      </c>
    </row>
    <row r="74" spans="2:17">
      <c r="B74" s="13"/>
      <c r="C74" s="226"/>
      <c r="D74" s="226"/>
    </row>
    <row r="75" spans="2:17">
      <c r="B75" s="16" t="s">
        <v>340</v>
      </c>
      <c r="C75" s="97" t="s">
        <v>218</v>
      </c>
      <c r="D75" s="97" t="s">
        <v>45</v>
      </c>
      <c r="E75" s="228"/>
      <c r="F75" s="228"/>
    </row>
    <row r="76" spans="2:17">
      <c r="B76" t="s">
        <v>308</v>
      </c>
      <c r="C76" s="275">
        <f>C69/E14</f>
        <v>3.9947501839097321</v>
      </c>
      <c r="D76" s="275">
        <f>D69/F14</f>
        <v>3.6265387868237395</v>
      </c>
      <c r="E76" s="228"/>
      <c r="F76" s="228"/>
    </row>
    <row r="77" spans="2:17">
      <c r="B77" t="s">
        <v>309</v>
      </c>
      <c r="C77" s="276">
        <f>C69/$E$16</f>
        <v>13.775000634171491</v>
      </c>
      <c r="D77" s="276">
        <f>D69/$E$16</f>
        <v>13.630783715992679</v>
      </c>
      <c r="E77" s="228"/>
      <c r="F77" s="228"/>
      <c r="G77" s="116"/>
      <c r="H77" s="116"/>
    </row>
    <row r="78" spans="2:17">
      <c r="B78" s="125" t="s">
        <v>310</v>
      </c>
      <c r="C78" s="276">
        <f>C69/$E$18</f>
        <v>16.23882188581192</v>
      </c>
      <c r="D78" s="276">
        <f>D69/$E$18</f>
        <v>16.068810071698685</v>
      </c>
      <c r="E78" s="228"/>
      <c r="F78" s="281"/>
    </row>
    <row r="79" spans="2:17">
      <c r="F79" s="116"/>
    </row>
    <row r="80" spans="2:17">
      <c r="B80" s="92" t="s">
        <v>325</v>
      </c>
      <c r="C80" s="92"/>
      <c r="D80" s="92"/>
      <c r="E80" s="92"/>
      <c r="F80" s="92"/>
      <c r="G80" s="92"/>
      <c r="H80" s="92"/>
      <c r="I80" s="92"/>
      <c r="J80" s="92"/>
      <c r="K80" s="92"/>
      <c r="L80" s="92"/>
      <c r="M80" s="92"/>
      <c r="N80" s="92"/>
      <c r="O80" s="92"/>
      <c r="P80" s="92"/>
      <c r="Q80" s="92"/>
    </row>
    <row r="81" spans="2:17">
      <c r="B81" s="13"/>
    </row>
    <row r="82" spans="2:17" ht="17.25" customHeight="1">
      <c r="B82" s="237"/>
      <c r="C82" s="13"/>
      <c r="D82" s="138" t="s">
        <v>220</v>
      </c>
      <c r="E82" s="139"/>
      <c r="F82" s="139"/>
      <c r="G82" s="139"/>
      <c r="H82" s="139"/>
      <c r="I82" s="139"/>
      <c r="J82" s="200"/>
      <c r="L82" s="138" t="s">
        <v>339</v>
      </c>
      <c r="M82" s="139"/>
      <c r="N82" s="139"/>
      <c r="O82" s="139"/>
      <c r="P82" s="139"/>
      <c r="Q82" s="139"/>
    </row>
    <row r="83" spans="2:17" ht="15" customHeight="1">
      <c r="B83" s="237"/>
      <c r="D83" s="26"/>
      <c r="E83" s="94" t="s">
        <v>221</v>
      </c>
      <c r="F83" s="94"/>
      <c r="G83" s="94"/>
      <c r="H83" s="94"/>
      <c r="I83" s="94"/>
      <c r="J83" s="202"/>
      <c r="L83" s="26"/>
      <c r="M83" s="94" t="s">
        <v>221</v>
      </c>
      <c r="N83" s="94"/>
      <c r="O83" s="94"/>
      <c r="P83" s="94"/>
      <c r="Q83" s="94"/>
    </row>
    <row r="84" spans="2:17" ht="15" customHeight="1">
      <c r="B84" s="237"/>
      <c r="C84" s="95"/>
      <c r="D84" s="282">
        <f>C73</f>
        <v>273.11764398891046</v>
      </c>
      <c r="E84" s="141">
        <f t="shared" ref="E84" si="18">F84-0.005</f>
        <v>1.9999999999999997E-2</v>
      </c>
      <c r="F84" s="142">
        <f>G84-0.005</f>
        <v>2.4999999999999998E-2</v>
      </c>
      <c r="G84" s="143">
        <v>0.03</v>
      </c>
      <c r="H84" s="142">
        <f>G84+0.005</f>
        <v>3.4999999999999996E-2</v>
      </c>
      <c r="I84" s="142">
        <f t="shared" ref="I84" si="19">H84+0.005</f>
        <v>3.9999999999999994E-2</v>
      </c>
      <c r="J84" s="203"/>
      <c r="L84" s="145">
        <f>C77</f>
        <v>13.775000634171491</v>
      </c>
      <c r="M84" s="141">
        <f t="shared" ref="M84" si="20">N84-0.005</f>
        <v>1.9999999999999997E-2</v>
      </c>
      <c r="N84" s="142">
        <f>O84-0.005</f>
        <v>2.4999999999999998E-2</v>
      </c>
      <c r="O84" s="143">
        <v>0.03</v>
      </c>
      <c r="P84" s="142">
        <f>O84+0.005</f>
        <v>3.4999999999999996E-2</v>
      </c>
      <c r="Q84" s="142">
        <f t="shared" ref="Q84" si="21">P84+0.005</f>
        <v>3.9999999999999994E-2</v>
      </c>
    </row>
    <row r="85" spans="2:17" ht="15" customHeight="1">
      <c r="B85" s="237"/>
      <c r="D85" s="146">
        <f t="shared" ref="D85" si="22">D86+0.005</f>
        <v>0.1</v>
      </c>
      <c r="E85" s="147">
        <f t="dataTable" ref="E85:I89" dt2D="1" dtr="1" r1="C42" r2="H4" ca="1"/>
        <v>215.68062019924798</v>
      </c>
      <c r="F85" s="147">
        <v>225.65770486167816</v>
      </c>
      <c r="G85" s="147">
        <v>237.06008733302698</v>
      </c>
      <c r="H85" s="147">
        <v>250.21668249227559</v>
      </c>
      <c r="I85" s="147">
        <v>265.56604351139896</v>
      </c>
      <c r="J85" s="204"/>
      <c r="L85" s="146">
        <f t="shared" ref="L85" si="23">L86+0.005</f>
        <v>0.1</v>
      </c>
      <c r="M85" s="137">
        <f t="dataTable" ref="M85:Q89" dt2D="1" dtr="1" r1="C42" r2="H4"/>
        <v>10.623194359987965</v>
      </c>
      <c r="N85" s="137">
        <v>11.170678125028855</v>
      </c>
      <c r="O85" s="137">
        <v>11.796373856504161</v>
      </c>
      <c r="P85" s="137">
        <v>12.518330469744898</v>
      </c>
      <c r="Q85" s="137">
        <v>13.360613185192424</v>
      </c>
    </row>
    <row r="86" spans="2:17" ht="15" customHeight="1">
      <c r="B86" s="237"/>
      <c r="D86" s="146">
        <f>D87+0.005</f>
        <v>9.5000000000000001E-2</v>
      </c>
      <c r="E86" s="147">
        <v>228.73641003115705</v>
      </c>
      <c r="F86" s="147">
        <v>240.32691025928392</v>
      </c>
      <c r="G86" s="147">
        <v>253.70056436866108</v>
      </c>
      <c r="H86" s="147">
        <v>269.30316082960104</v>
      </c>
      <c r="I86" s="147">
        <v>287.74259301071197</v>
      </c>
      <c r="J86" s="204"/>
      <c r="L86" s="146">
        <f>L87+0.005</f>
        <v>9.5000000000000001E-2</v>
      </c>
      <c r="M86" s="137">
        <v>11.339619369356896</v>
      </c>
      <c r="N86" s="137">
        <v>11.975637897644754</v>
      </c>
      <c r="O86" s="137">
        <v>12.70950543028459</v>
      </c>
      <c r="P86" s="137">
        <v>13.565684218364398</v>
      </c>
      <c r="Q86" s="137">
        <v>14.577531877004173</v>
      </c>
    </row>
    <row r="87" spans="2:17" ht="15" customHeight="1">
      <c r="B87" s="237"/>
      <c r="C87" s="95" t="s">
        <v>222</v>
      </c>
      <c r="D87" s="148">
        <v>0.09</v>
      </c>
      <c r="E87" s="147">
        <v>243.66113413110557</v>
      </c>
      <c r="F87" s="147">
        <v>257.25644637316935</v>
      </c>
      <c r="G87" s="147">
        <v>273.11764398891046</v>
      </c>
      <c r="H87" s="147">
        <v>291.86269571660455</v>
      </c>
      <c r="I87" s="147">
        <v>314.35675778983745</v>
      </c>
      <c r="J87" s="204"/>
      <c r="K87" s="95" t="s">
        <v>222</v>
      </c>
      <c r="L87" s="148">
        <v>0.09</v>
      </c>
      <c r="M87" s="137">
        <v>12.158600506522676</v>
      </c>
      <c r="N87" s="137">
        <v>12.904631334668281</v>
      </c>
      <c r="O87" s="137">
        <v>13.775000634171491</v>
      </c>
      <c r="P87" s="137">
        <v>14.803618897220739</v>
      </c>
      <c r="Q87" s="137">
        <v>16.037960812879835</v>
      </c>
    </row>
    <row r="88" spans="2:17" ht="15" customHeight="1">
      <c r="B88" s="237"/>
      <c r="D88" s="146">
        <f>D87-0.005</f>
        <v>8.4999999999999992E-2</v>
      </c>
      <c r="E88" s="147">
        <v>260.88617137072021</v>
      </c>
      <c r="F88" s="147">
        <v>277.01147494749239</v>
      </c>
      <c r="G88" s="147">
        <v>296.06865190185954</v>
      </c>
      <c r="H88" s="147">
        <v>318.93726424710013</v>
      </c>
      <c r="I88" s="147">
        <v>346.88779044683855</v>
      </c>
      <c r="J88" s="204"/>
      <c r="L88" s="146">
        <f>L87-0.005</f>
        <v>8.4999999999999992E-2</v>
      </c>
      <c r="M88" s="137">
        <v>13.103809308491162</v>
      </c>
      <c r="N88" s="137">
        <v>13.988671190828663</v>
      </c>
      <c r="O88" s="137">
        <v>15.034417051772985</v>
      </c>
      <c r="P88" s="137">
        <v>16.289312084906172</v>
      </c>
      <c r="Q88" s="137">
        <v>17.823072680957839</v>
      </c>
    </row>
    <row r="89" spans="2:17" ht="15" customHeight="1">
      <c r="B89" s="238" t="s">
        <v>223</v>
      </c>
      <c r="D89" s="149">
        <f>D88-0.005</f>
        <v>7.9999999999999988E-2</v>
      </c>
      <c r="E89" s="147">
        <v>280.98669607534595</v>
      </c>
      <c r="F89" s="147">
        <v>300.36267336606056</v>
      </c>
      <c r="G89" s="147">
        <v>323.61384611491815</v>
      </c>
      <c r="H89" s="147">
        <v>352.03194614129967</v>
      </c>
      <c r="I89" s="147">
        <v>387.55457117427648</v>
      </c>
      <c r="J89" s="204"/>
      <c r="L89" s="149">
        <f>L88-0.005</f>
        <v>7.9999999999999988E-2</v>
      </c>
      <c r="M89" s="137">
        <v>14.206807961597256</v>
      </c>
      <c r="N89" s="137">
        <v>15.270047711222009</v>
      </c>
      <c r="O89" s="137">
        <v>16.545935410771719</v>
      </c>
      <c r="P89" s="137">
        <v>18.105353710221362</v>
      </c>
      <c r="Q89" s="137">
        <v>20.054626584533416</v>
      </c>
    </row>
    <row r="90" spans="2:17" ht="15" customHeight="1">
      <c r="B90" s="238" t="s">
        <v>224</v>
      </c>
      <c r="E90" s="150"/>
      <c r="F90" s="150"/>
      <c r="G90" s="150"/>
      <c r="H90" s="150"/>
      <c r="I90" s="150"/>
      <c r="J90" s="205"/>
    </row>
    <row r="91" spans="2:17" ht="17.25" customHeight="1">
      <c r="B91" s="237"/>
      <c r="D91" s="138" t="s">
        <v>220</v>
      </c>
      <c r="E91" s="139"/>
      <c r="F91" s="139"/>
      <c r="G91" s="139"/>
      <c r="H91" s="139"/>
      <c r="I91" s="139"/>
      <c r="J91" s="200"/>
      <c r="L91" s="138" t="s">
        <v>339</v>
      </c>
      <c r="M91" s="139"/>
      <c r="N91" s="139"/>
      <c r="O91" s="139"/>
      <c r="P91" s="139"/>
      <c r="Q91" s="139"/>
    </row>
    <row r="92" spans="2:17" ht="15" customHeight="1">
      <c r="B92" s="237"/>
      <c r="E92" s="94" t="s">
        <v>225</v>
      </c>
      <c r="F92" s="94"/>
      <c r="G92" s="94"/>
      <c r="H92" s="94"/>
      <c r="I92" s="94"/>
      <c r="J92" s="202"/>
      <c r="M92" s="94" t="s">
        <v>225</v>
      </c>
      <c r="N92" s="94"/>
      <c r="O92" s="94"/>
      <c r="P92" s="94"/>
      <c r="Q92" s="94"/>
    </row>
    <row r="93" spans="2:17" ht="15" customHeight="1">
      <c r="B93" s="237"/>
      <c r="D93" s="151">
        <f>D73</f>
        <v>270.48950322145356</v>
      </c>
      <c r="E93" s="152">
        <f t="shared" ref="E93" si="24">F93-0.5</f>
        <v>11.5</v>
      </c>
      <c r="F93" s="152">
        <f>G93-0.5</f>
        <v>12</v>
      </c>
      <c r="G93" s="153">
        <v>12.5</v>
      </c>
      <c r="H93" s="152">
        <f>G93+0.5</f>
        <v>13</v>
      </c>
      <c r="I93" s="152">
        <f t="shared" ref="I93" si="25">H93+0.5</f>
        <v>13.5</v>
      </c>
      <c r="J93" s="206"/>
      <c r="L93" s="145">
        <f>D77</f>
        <v>13.630783715992679</v>
      </c>
      <c r="M93" s="152">
        <f t="shared" ref="M93" si="26">N93-0.5</f>
        <v>11.5</v>
      </c>
      <c r="N93" s="152">
        <f>O93-0.5</f>
        <v>12</v>
      </c>
      <c r="O93" s="153">
        <v>12.5</v>
      </c>
      <c r="P93" s="152">
        <f>O93+0.5</f>
        <v>13</v>
      </c>
      <c r="Q93" s="152">
        <f t="shared" ref="Q93" si="27">P93+0.5</f>
        <v>13.5</v>
      </c>
    </row>
    <row r="94" spans="2:17" ht="15" customHeight="1">
      <c r="B94" s="237"/>
      <c r="D94" s="146">
        <f t="shared" ref="D94" si="28">D95+0.005</f>
        <v>0.1</v>
      </c>
      <c r="E94" s="147">
        <f t="dataTable" ref="E94:I98" dt2D="1" dtr="1" r1="I43" r2="H4" ca="1"/>
        <v>246.48594791760073</v>
      </c>
      <c r="F94" s="147">
        <v>253.85888293046119</v>
      </c>
      <c r="G94" s="147">
        <v>261.23181794332169</v>
      </c>
      <c r="H94" s="147">
        <v>268.60475295618215</v>
      </c>
      <c r="I94" s="147">
        <v>275.97768796904262</v>
      </c>
      <c r="J94" s="204"/>
      <c r="L94" s="146">
        <f t="shared" ref="L94" si="29">L95+0.005</f>
        <v>0.1</v>
      </c>
      <c r="M94" s="137">
        <f t="dataTable" ref="M94:Q98" dt2D="1" dtr="1" r1="I43" r2="H4" ca="1"/>
        <v>12.31360968402254</v>
      </c>
      <c r="N94" s="137">
        <v>12.718193022424265</v>
      </c>
      <c r="O94" s="137">
        <v>13.122776360825991</v>
      </c>
      <c r="P94" s="137">
        <v>13.527359699227718</v>
      </c>
      <c r="Q94" s="137">
        <v>13.931943037629443</v>
      </c>
    </row>
    <row r="95" spans="2:17" ht="15" customHeight="1">
      <c r="B95" s="237"/>
      <c r="D95" s="146">
        <f>D96+0.005</f>
        <v>9.5000000000000001E-2</v>
      </c>
      <c r="E95" s="147">
        <v>250.74590014988414</v>
      </c>
      <c r="F95" s="147">
        <v>258.27469645473457</v>
      </c>
      <c r="G95" s="147">
        <v>265.80349275958497</v>
      </c>
      <c r="H95" s="147">
        <v>273.33228906443537</v>
      </c>
      <c r="I95" s="147">
        <v>280.86108536928577</v>
      </c>
      <c r="J95" s="204"/>
      <c r="L95" s="146">
        <f>L96+0.005</f>
        <v>9.5000000000000001E-2</v>
      </c>
      <c r="M95" s="137">
        <v>12.54737082426897</v>
      </c>
      <c r="N95" s="137">
        <v>12.960506914286018</v>
      </c>
      <c r="O95" s="137">
        <v>13.373643004303066</v>
      </c>
      <c r="P95" s="137">
        <v>13.78677909432011</v>
      </c>
      <c r="Q95" s="137">
        <v>14.199915184337158</v>
      </c>
    </row>
    <row r="96" spans="2:17" ht="15" customHeight="1">
      <c r="B96" s="237"/>
      <c r="C96" s="95" t="s">
        <v>222</v>
      </c>
      <c r="D96" s="148">
        <v>0.09</v>
      </c>
      <c r="E96" s="147">
        <v>255.11212614708694</v>
      </c>
      <c r="F96" s="147">
        <v>262.80081468427022</v>
      </c>
      <c r="G96" s="147">
        <v>270.48950322145356</v>
      </c>
      <c r="H96" s="147">
        <v>278.17819175863684</v>
      </c>
      <c r="I96" s="147">
        <v>285.86688029582018</v>
      </c>
      <c r="J96" s="204"/>
      <c r="K96" s="95" t="s">
        <v>222</v>
      </c>
      <c r="L96" s="148">
        <v>0.09</v>
      </c>
      <c r="M96" s="137">
        <v>12.786963644100345</v>
      </c>
      <c r="N96" s="137">
        <v>13.20887368004651</v>
      </c>
      <c r="O96" s="137">
        <v>13.630783715992679</v>
      </c>
      <c r="P96" s="137">
        <v>14.052693751938843</v>
      </c>
      <c r="Q96" s="137">
        <v>14.474603787885012</v>
      </c>
    </row>
    <row r="97" spans="2:17" ht="15" customHeight="1">
      <c r="B97" s="237"/>
      <c r="D97" s="146">
        <f>D96-0.005</f>
        <v>8.4999999999999992E-2</v>
      </c>
      <c r="E97" s="147">
        <v>259.58782156830137</v>
      </c>
      <c r="F97" s="147">
        <v>267.44055674137559</v>
      </c>
      <c r="G97" s="147">
        <v>275.29329191444981</v>
      </c>
      <c r="H97" s="147">
        <v>283.14602708752403</v>
      </c>
      <c r="I97" s="147">
        <v>290.99876226059826</v>
      </c>
      <c r="J97" s="204"/>
      <c r="L97" s="146">
        <f>L96-0.005</f>
        <v>8.4999999999999992E-2</v>
      </c>
      <c r="M97" s="137">
        <v>13.032563502504866</v>
      </c>
      <c r="N97" s="137">
        <v>13.463475453629524</v>
      </c>
      <c r="O97" s="137">
        <v>13.894387404754186</v>
      </c>
      <c r="P97" s="137">
        <v>14.325299355878846</v>
      </c>
      <c r="Q97" s="137">
        <v>14.756211307003507</v>
      </c>
    </row>
    <row r="98" spans="2:17" ht="15" customHeight="1">
      <c r="B98" s="237"/>
      <c r="D98" s="149">
        <f>D97-0.005</f>
        <v>7.9999999999999988E-2</v>
      </c>
      <c r="E98" s="147">
        <v>264.17629406737831</v>
      </c>
      <c r="F98" s="147">
        <v>272.1973581186349</v>
      </c>
      <c r="G98" s="147">
        <v>280.21842216989148</v>
      </c>
      <c r="H98" s="147">
        <v>288.23948622114807</v>
      </c>
      <c r="I98" s="147">
        <v>296.2605502724046</v>
      </c>
      <c r="J98" s="204"/>
      <c r="L98" s="149">
        <f>L97-0.005</f>
        <v>7.9999999999999988E-2</v>
      </c>
      <c r="M98" s="137">
        <v>13.284351904084826</v>
      </c>
      <c r="N98" s="137">
        <v>13.724500754675661</v>
      </c>
      <c r="O98" s="137">
        <v>14.164649605266495</v>
      </c>
      <c r="P98" s="137">
        <v>14.604798455857331</v>
      </c>
      <c r="Q98" s="137">
        <v>15.044947306448167</v>
      </c>
    </row>
    <row r="99" spans="2:17">
      <c r="J99" s="90"/>
    </row>
    <row r="100" spans="2:17">
      <c r="B100" s="121" t="s">
        <v>226</v>
      </c>
      <c r="C100" s="121"/>
      <c r="D100" s="121"/>
      <c r="E100" s="121"/>
      <c r="G100" s="121" t="s">
        <v>227</v>
      </c>
      <c r="H100" s="121"/>
      <c r="I100" s="121"/>
      <c r="J100" s="201"/>
      <c r="K100" s="121"/>
      <c r="L100" s="121"/>
      <c r="M100" s="121"/>
      <c r="N100" s="121"/>
      <c r="O100" s="121"/>
      <c r="P100" s="121"/>
    </row>
    <row r="101" spans="2:17">
      <c r="J101" s="90"/>
    </row>
    <row r="102" spans="2:17">
      <c r="J102" s="90"/>
    </row>
    <row r="103" spans="2:17">
      <c r="J103" s="90"/>
    </row>
    <row r="104" spans="2:17">
      <c r="J104" s="90"/>
    </row>
    <row r="105" spans="2:17">
      <c r="J105" s="90"/>
    </row>
    <row r="106" spans="2:17">
      <c r="J106" s="90"/>
    </row>
    <row r="107" spans="2:17">
      <c r="J107" s="90"/>
    </row>
    <row r="108" spans="2:17">
      <c r="J108" s="90"/>
    </row>
    <row r="109" spans="2:17">
      <c r="J109" s="90"/>
    </row>
    <row r="110" spans="2:17">
      <c r="J110" s="90"/>
    </row>
    <row r="111" spans="2:17">
      <c r="J111" s="90"/>
    </row>
    <row r="112" spans="2:17">
      <c r="J112" s="90"/>
    </row>
    <row r="113" spans="2:17">
      <c r="J113" s="90"/>
    </row>
    <row r="114" spans="2:17">
      <c r="J114" s="90"/>
      <c r="M114" s="106"/>
    </row>
    <row r="115" spans="2:17">
      <c r="J115" s="90"/>
    </row>
    <row r="116" spans="2:17">
      <c r="J116" s="90"/>
    </row>
    <row r="117" spans="2:17">
      <c r="J117" s="90"/>
    </row>
    <row r="118" spans="2:17">
      <c r="J118" s="90"/>
    </row>
    <row r="119" spans="2:17">
      <c r="J119" s="90"/>
    </row>
    <row r="120" spans="2:17">
      <c r="J120" s="90"/>
    </row>
    <row r="121" spans="2:17">
      <c r="B121" s="155"/>
      <c r="C121" s="156" t="s">
        <v>228</v>
      </c>
      <c r="D121" s="156" t="s">
        <v>229</v>
      </c>
      <c r="E121" s="157" t="s">
        <v>230</v>
      </c>
      <c r="G121" s="155"/>
      <c r="H121" s="128"/>
      <c r="I121" s="128"/>
      <c r="J121" s="207"/>
      <c r="K121" s="128"/>
      <c r="L121" s="128"/>
      <c r="M121" s="128"/>
      <c r="N121" s="128"/>
      <c r="O121" s="156" t="s">
        <v>228</v>
      </c>
      <c r="P121" s="156" t="s">
        <v>229</v>
      </c>
      <c r="Q121" s="157" t="s">
        <v>230</v>
      </c>
    </row>
    <row r="122" spans="2:17">
      <c r="B122" s="158" t="str">
        <f>"DCF Value at "&amp;TEXT(E93,"0.0x")&amp;"-"&amp;TEXT(I93,"0.0x")&amp;" Exit EBITDA Range at "&amp;TEXT(D96,"0.0%")&amp;" WACC"</f>
        <v>DCF Value at 11.5x-13.5x Exit EBITDA Range at 9.0% WACC</v>
      </c>
      <c r="C122" s="100">
        <f>E96</f>
        <v>255.11212614708694</v>
      </c>
      <c r="D122" s="100">
        <f>E122-C122</f>
        <v>30.754754148733241</v>
      </c>
      <c r="E122" s="159">
        <f>I96</f>
        <v>285.86688029582018</v>
      </c>
      <c r="G122" s="158" t="str">
        <f>"LTM EBITDA Purchase Multiple at "&amp;TEXT(M84,"0.0%")&amp;"-"&amp;TEXT(Q84,"0.0%")&amp;" Perpetuity Growth at "&amp;TEXT(L87,"0.0%")&amp;" WACC"</f>
        <v>LTM EBITDA Purchase Multiple at 2.0%-4.0% Perpetuity Growth at 9.0% WACC</v>
      </c>
      <c r="J122" s="90"/>
      <c r="O122" s="98">
        <f>M87</f>
        <v>12.158600506522676</v>
      </c>
      <c r="P122" s="98">
        <f>Q122-O122</f>
        <v>3.8793603063571584</v>
      </c>
      <c r="Q122" s="160">
        <f>Q87</f>
        <v>16.037960812879835</v>
      </c>
    </row>
    <row r="123" spans="2:17">
      <c r="B123" s="161" t="str">
        <f>"DCF Value at "&amp;TEXT(E84,"0.0%")&amp;"-"&amp;TEXT(I84,"0.0%")&amp;" Perpetuity Range at "&amp;TEXT(D96,"0.0%")&amp;" WACC"</f>
        <v>DCF Value at 2.0%-4.0% Perpetuity Range at 9.0% WACC</v>
      </c>
      <c r="C123" s="100">
        <f>E87</f>
        <v>243.66113413110557</v>
      </c>
      <c r="D123" s="100">
        <f>E123-C123</f>
        <v>70.695623658731876</v>
      </c>
      <c r="E123" s="159">
        <f>I87</f>
        <v>314.35675778983745</v>
      </c>
      <c r="G123" s="161" t="str">
        <f>"LTM EBITDA Purchase Multiple at "&amp;TEXT(M96,"0.0x")&amp;"-"&amp;TEXT(Q96,"0.0x")&amp;" Exit EBITDA Multiple at "&amp;TEXT(L96,"0.0%")&amp;" WACC"</f>
        <v>LTM EBITDA Purchase Multiple at 12.8x-14.5x Exit EBITDA Multiple at 9.0% WACC</v>
      </c>
      <c r="J123" s="90"/>
      <c r="O123" s="98">
        <f>M96</f>
        <v>12.786963644100345</v>
      </c>
      <c r="P123" s="98">
        <f>Q123-O123</f>
        <v>1.6876401437846678</v>
      </c>
      <c r="Q123" s="160">
        <f>Q96</f>
        <v>14.474603787885012</v>
      </c>
    </row>
    <row r="124" spans="2:17">
      <c r="B124" s="162" t="s">
        <v>231</v>
      </c>
      <c r="C124" s="283">
        <v>169.5</v>
      </c>
      <c r="D124" s="283">
        <f>E124-C124</f>
        <v>158.35000000000002</v>
      </c>
      <c r="E124" s="284">
        <v>327.85</v>
      </c>
      <c r="G124" s="162" t="str">
        <f>"LTM EBITDA Purchase Multiple at "&amp;TEXT(L98,"0.0%")&amp;"-"&amp;TEXT(L94,"0.0%")&amp;" WACC at "&amp;TEXT(O93,"0.0x")&amp;" Exit EBITDA"</f>
        <v>LTM EBITDA Purchase Multiple at 8.0%-10.0% WACC at 12.5x Exit EBITDA</v>
      </c>
      <c r="H124" s="5"/>
      <c r="I124" s="5"/>
      <c r="J124" s="208"/>
      <c r="K124" s="5"/>
      <c r="L124" s="5"/>
      <c r="M124" s="5"/>
      <c r="N124" s="5"/>
      <c r="O124" s="163">
        <f>O94</f>
        <v>13.122776360825991</v>
      </c>
      <c r="P124" s="163">
        <f>Q124-O124</f>
        <v>1.0418732444405041</v>
      </c>
      <c r="Q124" s="164">
        <f>O98</f>
        <v>14.164649605266495</v>
      </c>
    </row>
    <row r="125" spans="2:17">
      <c r="J125" s="90"/>
    </row>
    <row r="126" spans="2:17">
      <c r="J126" s="90"/>
    </row>
  </sheetData>
  <conditionalFormatting sqref="E85:J89 E94:J98">
    <cfRule type="cellIs" dxfId="8" priority="1" operator="lessThan">
      <formula>$C$7</formula>
    </cfRule>
  </conditionalFormatting>
  <dataValidations disablePrompts="1" count="1">
    <dataValidation type="list" allowBlank="1" showInputMessage="1" showErrorMessage="1" sqref="H7" xr:uid="{2FC87F25-2E6A-4C6B-A058-DFCAD5773FD3}">
      <formula1>"0,1"</formula1>
    </dataValidation>
  </dataValidations>
  <pageMargins left="0.7" right="0.7" top="0.75" bottom="0.75" header="0.3" footer="0.3"/>
  <pageSetup orientation="portrait"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5EDB82-B931-4F45-8E1E-5CA540C2D812}">
  <sheetPr>
    <tabColor theme="9"/>
  </sheetPr>
  <dimension ref="B1:Q126"/>
  <sheetViews>
    <sheetView topLeftCell="A38" zoomScaleNormal="100" workbookViewId="0">
      <selection activeCell="C65" sqref="C65"/>
    </sheetView>
  </sheetViews>
  <sheetFormatPr defaultColWidth="9.08984375" defaultRowHeight="14.5"/>
  <cols>
    <col min="1" max="1" width="1.453125" customWidth="1"/>
    <col min="2" max="2" width="54.453125" customWidth="1"/>
    <col min="3" max="3" width="13.453125" customWidth="1"/>
    <col min="4" max="9" width="12.6328125" customWidth="1"/>
    <col min="10" max="10" width="1.81640625" customWidth="1"/>
    <col min="11" max="11" width="12.08984375" bestFit="1" customWidth="1"/>
    <col min="12" max="16" width="9.453125" customWidth="1"/>
  </cols>
  <sheetData>
    <row r="1" spans="2:11" ht="15" thickBot="1"/>
    <row r="2" spans="2:11" ht="15" thickBot="1">
      <c r="B2" s="52" t="s">
        <v>316</v>
      </c>
      <c r="C2" s="41"/>
      <c r="D2" s="41"/>
      <c r="E2" s="41"/>
      <c r="F2" s="41"/>
      <c r="G2" s="41"/>
      <c r="H2" s="41"/>
      <c r="I2" s="41"/>
    </row>
    <row r="3" spans="2:11">
      <c r="B3" s="337" t="str">
        <f>'Financials '!$B$3</f>
        <v xml:space="preserve">$ and shares in millions, except per share data </v>
      </c>
    </row>
    <row r="4" spans="2:11" ht="15" customHeight="1">
      <c r="B4" t="s">
        <v>318</v>
      </c>
      <c r="D4" s="317">
        <v>43736</v>
      </c>
      <c r="F4" t="s">
        <v>198</v>
      </c>
      <c r="H4" s="19">
        <v>0.09</v>
      </c>
      <c r="K4" t="s">
        <v>373</v>
      </c>
    </row>
    <row r="5" spans="2:11">
      <c r="B5" t="s">
        <v>319</v>
      </c>
      <c r="D5" s="132">
        <f>EOMONTH(D4,12)</f>
        <v>44104</v>
      </c>
      <c r="F5" t="s">
        <v>317</v>
      </c>
      <c r="H5" s="119">
        <v>273.52</v>
      </c>
    </row>
    <row r="6" spans="2:11">
      <c r="B6" t="s">
        <v>320</v>
      </c>
      <c r="D6" s="317">
        <v>43827</v>
      </c>
      <c r="F6" t="s">
        <v>342</v>
      </c>
      <c r="H6" s="218">
        <v>43888</v>
      </c>
      <c r="J6" s="193"/>
    </row>
    <row r="7" spans="2:11">
      <c r="B7" t="s">
        <v>321</v>
      </c>
      <c r="D7" s="317">
        <v>43889</v>
      </c>
      <c r="F7" t="s">
        <v>350</v>
      </c>
      <c r="H7" s="316">
        <v>0</v>
      </c>
      <c r="I7" s="193"/>
      <c r="J7" s="193"/>
    </row>
    <row r="8" spans="2:11">
      <c r="B8" t="s">
        <v>343</v>
      </c>
      <c r="D8" s="91">
        <f>YEARFRAC(D7,D5)</f>
        <v>0.58888888888888891</v>
      </c>
    </row>
    <row r="9" spans="2:11">
      <c r="D9" s="120"/>
    </row>
    <row r="10" spans="2:11">
      <c r="B10" s="92" t="s">
        <v>265</v>
      </c>
      <c r="C10" s="56"/>
      <c r="D10" s="234"/>
      <c r="F10" s="56"/>
      <c r="G10" s="56"/>
      <c r="H10" s="56"/>
      <c r="I10" s="56"/>
    </row>
    <row r="11" spans="2:11" ht="17.25" customHeight="1">
      <c r="C11" s="139"/>
      <c r="D11" s="139" t="s">
        <v>263</v>
      </c>
      <c r="E11" s="246" t="s">
        <v>264</v>
      </c>
      <c r="F11" s="139"/>
      <c r="G11" s="139"/>
      <c r="H11" s="139"/>
      <c r="I11" s="139"/>
    </row>
    <row r="12" spans="2:11">
      <c r="B12" s="10" t="s">
        <v>338</v>
      </c>
      <c r="C12" s="222"/>
      <c r="D12" s="190">
        <f>D4</f>
        <v>43736</v>
      </c>
      <c r="E12" s="318">
        <f>EOMONTH(D12,12)</f>
        <v>44104</v>
      </c>
      <c r="F12" s="318">
        <f t="shared" ref="F12:I12" si="0">EOMONTH(E12,12)</f>
        <v>44469</v>
      </c>
      <c r="G12" s="318">
        <f t="shared" si="0"/>
        <v>44834</v>
      </c>
      <c r="H12" s="318">
        <f t="shared" si="0"/>
        <v>45199</v>
      </c>
      <c r="I12" s="318">
        <f t="shared" si="0"/>
        <v>45565</v>
      </c>
    </row>
    <row r="13" spans="2:11">
      <c r="B13" s="10"/>
      <c r="D13" s="180"/>
      <c r="E13" s="179"/>
      <c r="F13" s="179"/>
      <c r="G13" s="179"/>
      <c r="H13" s="179"/>
      <c r="I13" s="179"/>
    </row>
    <row r="14" spans="2:11">
      <c r="B14" t="s">
        <v>11</v>
      </c>
      <c r="C14" s="125"/>
      <c r="D14" s="319">
        <v>260174</v>
      </c>
      <c r="E14" s="125">
        <f>D14*(1+E15)</f>
        <v>280987.92000000004</v>
      </c>
      <c r="F14" s="125">
        <f t="shared" ref="F14:I14" si="1">E14*(1+F15)</f>
        <v>306276.83280000009</v>
      </c>
      <c r="G14" s="125">
        <f t="shared" si="1"/>
        <v>324653.44276800012</v>
      </c>
      <c r="H14" s="125">
        <f t="shared" si="1"/>
        <v>344132.64933408017</v>
      </c>
      <c r="I14" s="125">
        <f t="shared" si="1"/>
        <v>364780.60829412501</v>
      </c>
    </row>
    <row r="15" spans="2:11">
      <c r="B15" s="17" t="s">
        <v>154</v>
      </c>
      <c r="D15" s="182"/>
      <c r="E15" s="102">
        <v>0.08</v>
      </c>
      <c r="F15" s="102">
        <v>0.09</v>
      </c>
      <c r="G15" s="102">
        <v>0.06</v>
      </c>
      <c r="H15" s="102">
        <v>0.06</v>
      </c>
      <c r="I15" s="102">
        <v>0.06</v>
      </c>
      <c r="K15" s="102"/>
    </row>
    <row r="16" spans="2:11">
      <c r="B16" t="s">
        <v>45</v>
      </c>
      <c r="C16" s="125"/>
      <c r="D16" s="184">
        <f>D18+D25</f>
        <v>76477</v>
      </c>
      <c r="E16" s="125">
        <f>E17*E14</f>
        <v>81486.496800000008</v>
      </c>
      <c r="F16" s="125">
        <f t="shared" ref="F16:I16" si="2">F17*F14</f>
        <v>88820.281512000016</v>
      </c>
      <c r="G16" s="125">
        <f t="shared" si="2"/>
        <v>92526.231188880032</v>
      </c>
      <c r="H16" s="125">
        <f t="shared" si="2"/>
        <v>98077.805060212835</v>
      </c>
      <c r="I16" s="125">
        <f t="shared" si="2"/>
        <v>102138.57032235501</v>
      </c>
    </row>
    <row r="17" spans="2:13">
      <c r="B17" s="17" t="s">
        <v>253</v>
      </c>
      <c r="D17" s="183">
        <f>D16/D14</f>
        <v>0.29394559025882677</v>
      </c>
      <c r="E17" s="102">
        <v>0.28999999999999998</v>
      </c>
      <c r="F17" s="102">
        <v>0.28999999999999998</v>
      </c>
      <c r="G17" s="102">
        <v>0.28499999999999998</v>
      </c>
      <c r="H17" s="102">
        <v>0.28499999999999998</v>
      </c>
      <c r="I17" s="102">
        <v>0.28000000000000003</v>
      </c>
    </row>
    <row r="18" spans="2:13">
      <c r="B18" t="s">
        <v>201</v>
      </c>
      <c r="D18" s="319">
        <v>63930</v>
      </c>
      <c r="E18" s="125">
        <f>E19*E14</f>
        <v>69123.028320000012</v>
      </c>
      <c r="F18" s="125">
        <f t="shared" ref="F18:I18" si="3">F19*F14</f>
        <v>76569.208200000023</v>
      </c>
      <c r="G18" s="125">
        <f t="shared" si="3"/>
        <v>81163.360692000031</v>
      </c>
      <c r="H18" s="125">
        <f t="shared" si="3"/>
        <v>87753.825580190445</v>
      </c>
      <c r="I18" s="125">
        <f t="shared" si="3"/>
        <v>91195.152073531252</v>
      </c>
    </row>
    <row r="19" spans="2:13">
      <c r="B19" s="17" t="s">
        <v>253</v>
      </c>
      <c r="D19" s="183">
        <f>D18/D14</f>
        <v>0.24572017188496928</v>
      </c>
      <c r="E19" s="102">
        <v>0.246</v>
      </c>
      <c r="F19" s="102">
        <v>0.25</v>
      </c>
      <c r="G19" s="102">
        <v>0.25</v>
      </c>
      <c r="H19" s="102">
        <v>0.255</v>
      </c>
      <c r="I19" s="102">
        <v>0.25</v>
      </c>
    </row>
    <row r="20" spans="2:13">
      <c r="B20" s="17"/>
      <c r="D20" s="181"/>
      <c r="E20" s="105"/>
      <c r="F20" s="105"/>
      <c r="G20" s="105"/>
      <c r="H20" s="105"/>
      <c r="I20" s="105"/>
    </row>
    <row r="21" spans="2:13" ht="15" customHeight="1">
      <c r="B21" t="s">
        <v>341</v>
      </c>
      <c r="C21" s="125"/>
      <c r="D21" s="184">
        <f>D22*D18</f>
        <v>10164.870000000001</v>
      </c>
      <c r="E21" s="125">
        <f>E22*E18</f>
        <v>10921.438474560002</v>
      </c>
      <c r="F21" s="125">
        <f t="shared" ref="F21:I21" si="4">F22*F18</f>
        <v>12710.488561200005</v>
      </c>
      <c r="G21" s="125">
        <f t="shared" si="4"/>
        <v>13554.281235564005</v>
      </c>
      <c r="H21" s="125">
        <f t="shared" si="4"/>
        <v>15181.411825372947</v>
      </c>
      <c r="I21" s="125">
        <f t="shared" si="4"/>
        <v>15776.761308720905</v>
      </c>
    </row>
    <row r="22" spans="2:13" ht="15" customHeight="1">
      <c r="B22" s="17" t="s">
        <v>0</v>
      </c>
      <c r="D22" s="320">
        <v>0.159</v>
      </c>
      <c r="E22" s="320">
        <v>0.158</v>
      </c>
      <c r="F22" s="19">
        <v>0.16600000000000001</v>
      </c>
      <c r="G22" s="19">
        <v>0.16700000000000001</v>
      </c>
      <c r="H22" s="19">
        <v>0.17299999999999999</v>
      </c>
      <c r="I22" s="19">
        <v>0.17299999999999999</v>
      </c>
    </row>
    <row r="23" spans="2:13" ht="15" customHeight="1">
      <c r="B23" s="13" t="s">
        <v>276</v>
      </c>
      <c r="C23" s="13"/>
      <c r="D23" s="321">
        <f>D18-D21</f>
        <v>53765.13</v>
      </c>
      <c r="E23" s="321">
        <f t="shared" ref="E23:I23" si="5">E18-E21</f>
        <v>58201.589845440009</v>
      </c>
      <c r="F23" s="124">
        <f t="shared" si="5"/>
        <v>63858.719638800016</v>
      </c>
      <c r="G23" s="124">
        <f t="shared" si="5"/>
        <v>67609.079456436026</v>
      </c>
      <c r="H23" s="124">
        <f t="shared" si="5"/>
        <v>72572.413754817506</v>
      </c>
      <c r="I23" s="124">
        <f t="shared" si="5"/>
        <v>75418.390764810349</v>
      </c>
    </row>
    <row r="24" spans="2:13">
      <c r="D24" s="184"/>
      <c r="E24" s="125"/>
      <c r="F24" s="125"/>
      <c r="G24" s="125"/>
      <c r="H24" s="125"/>
      <c r="I24" s="125"/>
    </row>
    <row r="25" spans="2:13" ht="15" customHeight="1">
      <c r="B25" t="s">
        <v>47</v>
      </c>
      <c r="D25" s="319">
        <v>12547</v>
      </c>
      <c r="E25" s="125">
        <f>E16-E18</f>
        <v>12363.468479999996</v>
      </c>
      <c r="F25" s="125">
        <f t="shared" ref="F25:I25" si="6">F16-F18</f>
        <v>12251.073311999993</v>
      </c>
      <c r="G25" s="125">
        <f t="shared" si="6"/>
        <v>11362.870496880001</v>
      </c>
      <c r="H25" s="125">
        <f t="shared" si="6"/>
        <v>10323.97948002239</v>
      </c>
      <c r="I25" s="125">
        <f t="shared" si="6"/>
        <v>10943.418248823757</v>
      </c>
      <c r="M25" s="49"/>
    </row>
    <row r="26" spans="2:13" ht="15" customHeight="1">
      <c r="B26" t="s">
        <v>202</v>
      </c>
      <c r="D26" s="322">
        <f t="shared" ref="D26:I26" si="7">C32-D32</f>
        <v>-2927</v>
      </c>
      <c r="E26" s="322">
        <f t="shared" si="7"/>
        <v>2177.2800000000061</v>
      </c>
      <c r="F26" s="125">
        <f t="shared" si="7"/>
        <v>2645.3952000000063</v>
      </c>
      <c r="G26" s="125">
        <f t="shared" si="7"/>
        <v>1922.3205120000057</v>
      </c>
      <c r="H26" s="125">
        <f t="shared" si="7"/>
        <v>2037.6597427200031</v>
      </c>
      <c r="I26" s="125">
        <f t="shared" si="7"/>
        <v>2159.9193272832053</v>
      </c>
      <c r="M26" s="96"/>
    </row>
    <row r="27" spans="2:13" ht="15" customHeight="1">
      <c r="B27" t="s">
        <v>34</v>
      </c>
      <c r="D27" s="319">
        <v>-10495</v>
      </c>
      <c r="E27" s="23">
        <f>-(E28*E14)</f>
        <v>-11334.6</v>
      </c>
      <c r="F27" s="23">
        <f>-(F28*F14)</f>
        <v>-11944.796479200004</v>
      </c>
      <c r="G27" s="23">
        <f>-(G28*G14)</f>
        <v>-12336.830825184004</v>
      </c>
      <c r="H27" s="23">
        <f>-(H28*H14)</f>
        <v>-12732.908025360966</v>
      </c>
      <c r="I27" s="23">
        <f>-(I28*I14)</f>
        <v>-13132.101898588498</v>
      </c>
      <c r="M27" s="96"/>
    </row>
    <row r="28" spans="2:13" ht="15" customHeight="1">
      <c r="B28" s="17" t="s">
        <v>126</v>
      </c>
      <c r="D28" s="323">
        <f>-(D27/D14)</f>
        <v>4.033838892433525E-2</v>
      </c>
      <c r="E28" s="102">
        <f>D28</f>
        <v>4.033838892433525E-2</v>
      </c>
      <c r="F28" s="102">
        <v>3.9E-2</v>
      </c>
      <c r="G28" s="102">
        <v>3.7999999999999999E-2</v>
      </c>
      <c r="H28" s="102">
        <v>3.6999999999999998E-2</v>
      </c>
      <c r="I28" s="102">
        <v>3.5999999999999997E-2</v>
      </c>
      <c r="M28" s="96"/>
    </row>
    <row r="29" spans="2:13">
      <c r="D29" s="104"/>
      <c r="E29" s="2"/>
      <c r="F29" s="2"/>
      <c r="G29" s="2"/>
      <c r="H29" s="2"/>
      <c r="I29" s="2"/>
      <c r="M29" s="96"/>
    </row>
    <row r="30" spans="2:13">
      <c r="B30" s="13" t="s">
        <v>344</v>
      </c>
      <c r="C30" s="13"/>
      <c r="D30" s="124"/>
      <c r="E30" s="124">
        <f>E23+E25+E26+E27</f>
        <v>61407.738325440012</v>
      </c>
      <c r="F30" s="124">
        <f t="shared" ref="F30:I30" si="8">F23+F25+F26+F27</f>
        <v>66810.391671600009</v>
      </c>
      <c r="G30" s="124">
        <f t="shared" si="8"/>
        <v>68557.439640132026</v>
      </c>
      <c r="H30" s="124">
        <f t="shared" si="8"/>
        <v>72201.144952198927</v>
      </c>
      <c r="I30" s="124">
        <f t="shared" si="8"/>
        <v>75389.626442328808</v>
      </c>
      <c r="M30" s="124"/>
    </row>
    <row r="31" spans="2:13">
      <c r="D31" s="105"/>
      <c r="M31" s="96"/>
    </row>
    <row r="32" spans="2:13">
      <c r="B32" t="s">
        <v>275</v>
      </c>
      <c r="C32" s="104">
        <f>23186+3956+25809+12087-55888-33327-5966</f>
        <v>-30143</v>
      </c>
      <c r="D32" s="104">
        <f>22926+4106+22878+12352-46236-37720-5522</f>
        <v>-27216</v>
      </c>
      <c r="E32" s="125">
        <f>E33*E14</f>
        <v>-29393.280000000006</v>
      </c>
      <c r="F32" s="125">
        <f>F33*F14</f>
        <v>-32038.675200000012</v>
      </c>
      <c r="G32" s="125">
        <f>G33*G14</f>
        <v>-33960.995712000018</v>
      </c>
      <c r="H32" s="125">
        <f>H33*H14</f>
        <v>-35998.655454720021</v>
      </c>
      <c r="I32" s="125">
        <f>I33*I14</f>
        <v>-38158.574782003227</v>
      </c>
    </row>
    <row r="33" spans="2:13">
      <c r="B33" s="17" t="s">
        <v>126</v>
      </c>
      <c r="D33" s="91">
        <f>D32/D14</f>
        <v>-0.10460691690945291</v>
      </c>
      <c r="E33" s="91">
        <f>D33</f>
        <v>-0.10460691690945291</v>
      </c>
      <c r="F33" s="91">
        <f t="shared" ref="F33:I33" si="9">E33</f>
        <v>-0.10460691690945291</v>
      </c>
      <c r="G33" s="91">
        <f t="shared" si="9"/>
        <v>-0.10460691690945291</v>
      </c>
      <c r="H33" s="91">
        <f t="shared" si="9"/>
        <v>-0.10460691690945291</v>
      </c>
      <c r="I33" s="91">
        <f t="shared" si="9"/>
        <v>-0.10460691690945291</v>
      </c>
      <c r="J33" s="105"/>
    </row>
    <row r="34" spans="2:13">
      <c r="D34" s="105"/>
      <c r="E34" s="91"/>
      <c r="F34" s="91"/>
      <c r="G34" s="91"/>
      <c r="H34" s="91"/>
      <c r="I34" s="91"/>
      <c r="J34" s="105"/>
      <c r="K34" s="23"/>
      <c r="M34" s="91"/>
    </row>
    <row r="35" spans="2:13">
      <c r="B35" s="92" t="str">
        <f>"Present value of UFCF on "&amp;TEXT(D7,"mmm dd, yyyy")&amp;" valuation date"</f>
        <v>Present value of UFCF on Feb 28, 2020 valuation date</v>
      </c>
      <c r="C35" s="56"/>
      <c r="D35" s="209"/>
      <c r="E35" s="56"/>
      <c r="F35" s="209"/>
      <c r="G35" s="209"/>
      <c r="H35" s="209"/>
      <c r="I35" s="209"/>
      <c r="J35" s="105"/>
    </row>
    <row r="36" spans="2:13" ht="16">
      <c r="B36" s="13"/>
      <c r="D36" s="213" t="s">
        <v>269</v>
      </c>
      <c r="E36" s="213" t="s">
        <v>274</v>
      </c>
      <c r="F36" s="214" t="s">
        <v>270</v>
      </c>
      <c r="G36" s="214" t="s">
        <v>271</v>
      </c>
      <c r="H36" s="214" t="s">
        <v>272</v>
      </c>
      <c r="I36" s="214" t="s">
        <v>273</v>
      </c>
      <c r="J36" s="105"/>
    </row>
    <row r="37" spans="2:13">
      <c r="B37" t="s">
        <v>267</v>
      </c>
      <c r="C37" s="210"/>
      <c r="D37" s="122">
        <f>D7</f>
        <v>43889</v>
      </c>
      <c r="E37" s="122">
        <f>IF($H$7=0,E12,AVERAGE(D37,E12))</f>
        <v>44104</v>
      </c>
      <c r="F37" s="122">
        <f>IF($H$7=0,F12,AVERAGE(F12,E12))</f>
        <v>44469</v>
      </c>
      <c r="G37" s="122">
        <f>IF($H$7=0,G12,AVERAGE(G12,F12))</f>
        <v>44834</v>
      </c>
      <c r="H37" s="122">
        <f>IF($H$7=0,H12,AVERAGE(H12,G12))</f>
        <v>45199</v>
      </c>
      <c r="I37" s="122">
        <f>IF($H$7=0,I12,AVERAGE(I12,H12))</f>
        <v>45565</v>
      </c>
      <c r="J37" s="105"/>
    </row>
    <row r="38" spans="2:13">
      <c r="B38" t="s">
        <v>268</v>
      </c>
      <c r="C38" s="211">
        <f>D8</f>
        <v>0.58888888888888891</v>
      </c>
      <c r="D38" s="96"/>
      <c r="E38" s="212">
        <f>C38*E30</f>
        <v>36162.334791648005</v>
      </c>
      <c r="F38" s="212">
        <f>F30</f>
        <v>66810.391671600009</v>
      </c>
      <c r="G38" s="212">
        <f t="shared" ref="G38:I38" si="10">G30</f>
        <v>68557.439640132026</v>
      </c>
      <c r="H38" s="212">
        <f t="shared" si="10"/>
        <v>72201.144952198927</v>
      </c>
      <c r="I38" s="212">
        <f t="shared" si="10"/>
        <v>75389.626442328808</v>
      </c>
      <c r="J38" s="125"/>
      <c r="K38" t="s">
        <v>203</v>
      </c>
    </row>
    <row r="39" spans="2:13" ht="15" customHeight="1">
      <c r="B39" s="13" t="s">
        <v>254</v>
      </c>
      <c r="C39" s="72"/>
      <c r="E39" s="124">
        <f>E38/(1+$H$4)^((E37-$D$37)/365)</f>
        <v>34372.468070995172</v>
      </c>
      <c r="F39" s="124">
        <f>F38/(1+$H$4)^((F37-$D$37)/365)</f>
        <v>58260.17361403392</v>
      </c>
      <c r="G39" s="124">
        <f t="shared" ref="G39:I39" si="11">G38/(1+$H$4)^((G37-$D$37)/365)</f>
        <v>54847.375213211897</v>
      </c>
      <c r="H39" s="124">
        <f t="shared" si="11"/>
        <v>52993.041393948159</v>
      </c>
      <c r="I39" s="124">
        <f t="shared" si="11"/>
        <v>50752.485512159132</v>
      </c>
      <c r="J39" s="125"/>
    </row>
    <row r="41" spans="2:13">
      <c r="B41" s="92" t="s">
        <v>204</v>
      </c>
      <c r="C41" s="92"/>
      <c r="E41" s="92" t="s">
        <v>205</v>
      </c>
      <c r="F41" s="56"/>
      <c r="G41" s="56"/>
      <c r="H41" s="56"/>
      <c r="I41" s="56"/>
    </row>
    <row r="42" spans="2:13">
      <c r="B42" t="s">
        <v>206</v>
      </c>
      <c r="C42" s="102">
        <v>0.03</v>
      </c>
      <c r="E42" t="s">
        <v>261</v>
      </c>
      <c r="I42" s="96">
        <f>I16</f>
        <v>102138.57032235501</v>
      </c>
      <c r="J42" s="96"/>
    </row>
    <row r="43" spans="2:13">
      <c r="B43" s="129" t="str">
        <f>YEAR(I12)&amp;" FCF x (1+g)"</f>
        <v>2024 FCF x (1+g)</v>
      </c>
      <c r="C43" s="96">
        <f>I30*(1+C42)</f>
        <v>77651.315235598668</v>
      </c>
      <c r="E43" t="s">
        <v>207</v>
      </c>
      <c r="I43" s="187">
        <v>12.5</v>
      </c>
      <c r="J43" s="187"/>
    </row>
    <row r="44" spans="2:13">
      <c r="B44" t="str">
        <f>"Terminal value in "&amp;YEAR(I12)</f>
        <v>Terminal value in 2024</v>
      </c>
      <c r="C44" s="96">
        <f>C43/(H4-C42)</f>
        <v>1294188.5872599778</v>
      </c>
      <c r="E44" t="str">
        <f>"Terminal value in "&amp;YEAR(I12)</f>
        <v>Terminal value in 2024</v>
      </c>
      <c r="I44" s="96">
        <f>I42*I43</f>
        <v>1276732.1290294377</v>
      </c>
      <c r="J44" s="96"/>
    </row>
    <row r="45" spans="2:13">
      <c r="B45" t="s">
        <v>258</v>
      </c>
      <c r="C45" s="96">
        <f>C44/(1+H4)^((I37-D37)/365)</f>
        <v>871251.00129206502</v>
      </c>
      <c r="E45" t="s">
        <v>258</v>
      </c>
      <c r="I45" s="96">
        <f>I44/(1+H4)^((I37-D37)/365)</f>
        <v>859499.26985038142</v>
      </c>
      <c r="J45" s="96"/>
    </row>
    <row r="46" spans="2:13">
      <c r="B46" t="s">
        <v>259</v>
      </c>
      <c r="C46" s="125">
        <f>SUM(E39:I39)</f>
        <v>251225.54380434827</v>
      </c>
      <c r="E46" t="s">
        <v>259</v>
      </c>
      <c r="I46" s="96">
        <f>C46</f>
        <v>251225.54380434827</v>
      </c>
      <c r="J46" s="96"/>
    </row>
    <row r="47" spans="2:13">
      <c r="B47" s="13" t="s">
        <v>256</v>
      </c>
      <c r="C47" s="123">
        <f>SUM(C45:C46)</f>
        <v>1122476.5450964132</v>
      </c>
      <c r="D47" s="115"/>
      <c r="E47" s="13" t="s">
        <v>208</v>
      </c>
      <c r="I47" s="123">
        <f>SUM(I45:I46)</f>
        <v>1110724.8136547296</v>
      </c>
      <c r="J47" s="123"/>
    </row>
    <row r="48" spans="2:13">
      <c r="D48" s="49"/>
    </row>
    <row r="49" spans="2:12">
      <c r="B49" s="185" t="s">
        <v>255</v>
      </c>
      <c r="C49" s="130">
        <f>C45/$C$47</f>
        <v>0.77618637565137749</v>
      </c>
      <c r="E49" s="185" t="s">
        <v>255</v>
      </c>
      <c r="I49" s="130">
        <f>I45/$I$47</f>
        <v>0.77381837452814661</v>
      </c>
      <c r="J49" s="130"/>
    </row>
    <row r="50" spans="2:12">
      <c r="B50" s="185" t="s">
        <v>260</v>
      </c>
      <c r="C50" s="130">
        <f t="shared" ref="C50" si="12">C46/$C$47</f>
        <v>0.22381362434862251</v>
      </c>
      <c r="E50" s="185" t="s">
        <v>260</v>
      </c>
      <c r="G50" s="131"/>
      <c r="I50" s="130">
        <f t="shared" ref="I50" si="13">I46/$I$47</f>
        <v>0.22618162547185344</v>
      </c>
      <c r="J50" s="49"/>
    </row>
    <row r="51" spans="2:12">
      <c r="B51" s="185" t="s">
        <v>210</v>
      </c>
      <c r="C51" s="186">
        <f>C44/I16</f>
        <v>12.670909561152527</v>
      </c>
      <c r="E51" t="s">
        <v>209</v>
      </c>
      <c r="I51" s="194">
        <f>(H4-I38/I44)/(1+I38/I44)</f>
        <v>2.9225374867615402E-2</v>
      </c>
      <c r="J51" s="194"/>
    </row>
    <row r="52" spans="2:12">
      <c r="B52" s="185"/>
      <c r="C52" s="10"/>
      <c r="D52" s="186"/>
      <c r="I52" s="194"/>
      <c r="J52" s="194"/>
    </row>
    <row r="53" spans="2:12">
      <c r="B53" s="92" t="s">
        <v>211</v>
      </c>
      <c r="C53" s="56"/>
      <c r="E53" s="92" t="s">
        <v>212</v>
      </c>
      <c r="F53" s="56"/>
      <c r="G53" s="92"/>
      <c r="H53" s="56"/>
      <c r="I53" s="56"/>
    </row>
    <row r="54" spans="2:12">
      <c r="B54" t="s">
        <v>326</v>
      </c>
      <c r="C54" s="218" t="s">
        <v>349</v>
      </c>
      <c r="L54" s="15"/>
    </row>
    <row r="55" spans="2:12">
      <c r="B55" s="26" t="s">
        <v>312</v>
      </c>
      <c r="C55" s="317">
        <v>43827</v>
      </c>
      <c r="G55" s="16" t="s">
        <v>326</v>
      </c>
      <c r="H55" s="97" t="s">
        <v>234</v>
      </c>
      <c r="I55" s="97" t="s">
        <v>294</v>
      </c>
    </row>
    <row r="56" spans="2:12">
      <c r="B56" s="220" t="s">
        <v>298</v>
      </c>
      <c r="C56" s="132"/>
      <c r="E56" t="s">
        <v>311</v>
      </c>
      <c r="G56" s="218" t="s">
        <v>349</v>
      </c>
      <c r="H56" s="218">
        <v>43847</v>
      </c>
      <c r="I56" s="195">
        <v>4375.4799999999996</v>
      </c>
      <c r="J56" s="195"/>
    </row>
    <row r="57" spans="2:12">
      <c r="B57" s="17" t="s">
        <v>246</v>
      </c>
      <c r="C57" s="2">
        <f>4990+10224+93078</f>
        <v>108292</v>
      </c>
      <c r="E57" s="26" t="s">
        <v>295</v>
      </c>
      <c r="G57" s="218" t="s">
        <v>349</v>
      </c>
      <c r="H57" s="218">
        <v>43827</v>
      </c>
      <c r="I57" s="195">
        <v>96.02</v>
      </c>
      <c r="J57" s="196"/>
    </row>
    <row r="58" spans="2:12" ht="15" customHeight="1">
      <c r="B58" s="17" t="s">
        <v>291</v>
      </c>
      <c r="C58" s="2">
        <v>0</v>
      </c>
      <c r="E58" s="26" t="s">
        <v>292</v>
      </c>
      <c r="G58" s="218"/>
      <c r="H58" s="218"/>
      <c r="I58" s="335">
        <v>0</v>
      </c>
      <c r="K58" t="s">
        <v>375</v>
      </c>
    </row>
    <row r="59" spans="2:12" ht="15" customHeight="1">
      <c r="B59" s="17" t="s">
        <v>297</v>
      </c>
      <c r="C59" s="2">
        <v>0</v>
      </c>
      <c r="E59" t="s">
        <v>291</v>
      </c>
      <c r="G59" s="218"/>
      <c r="H59" s="218"/>
      <c r="I59" s="335">
        <v>0</v>
      </c>
      <c r="K59" t="s">
        <v>376</v>
      </c>
    </row>
    <row r="60" spans="2:12">
      <c r="B60" s="219" t="s">
        <v>302</v>
      </c>
      <c r="C60" s="2">
        <v>0</v>
      </c>
      <c r="E60" t="s">
        <v>293</v>
      </c>
      <c r="G60" s="218"/>
      <c r="H60" s="218"/>
      <c r="I60" s="335">
        <v>0</v>
      </c>
      <c r="K60" t="s">
        <v>374</v>
      </c>
    </row>
    <row r="61" spans="2:12" ht="15" customHeight="1">
      <c r="B61" s="220" t="s">
        <v>215</v>
      </c>
      <c r="E61" s="25" t="s">
        <v>216</v>
      </c>
      <c r="I61" s="199">
        <f>SUM(I56:I60)</f>
        <v>4471.5</v>
      </c>
      <c r="J61" s="197"/>
    </row>
    <row r="62" spans="2:12">
      <c r="B62" s="134" t="s">
        <v>301</v>
      </c>
      <c r="C62" s="2">
        <f>39771+67391+99899</f>
        <v>207061</v>
      </c>
      <c r="J62" s="133"/>
    </row>
    <row r="63" spans="2:12">
      <c r="B63" s="134" t="s">
        <v>299</v>
      </c>
      <c r="C63" s="2">
        <v>0</v>
      </c>
      <c r="J63" s="133"/>
    </row>
    <row r="64" spans="2:12">
      <c r="J64" s="198"/>
    </row>
    <row r="65" spans="2:17">
      <c r="B65" s="135" t="s">
        <v>211</v>
      </c>
      <c r="C65" s="27">
        <f>SUM(C57:C60)-SUM(C62:C63)</f>
        <v>-98769</v>
      </c>
    </row>
    <row r="67" spans="2:17">
      <c r="B67" s="92" t="s">
        <v>217</v>
      </c>
      <c r="C67" s="56"/>
      <c r="D67" s="56"/>
    </row>
    <row r="68" spans="2:17" ht="16">
      <c r="C68" s="225" t="s">
        <v>218</v>
      </c>
      <c r="D68" s="225" t="s">
        <v>45</v>
      </c>
    </row>
    <row r="69" spans="2:17">
      <c r="B69" t="s">
        <v>219</v>
      </c>
      <c r="C69" s="136">
        <f>C47</f>
        <v>1122476.5450964132</v>
      </c>
      <c r="D69" s="136">
        <f>I47</f>
        <v>1110724.8136547296</v>
      </c>
    </row>
    <row r="70" spans="2:17">
      <c r="B70" t="s">
        <v>211</v>
      </c>
      <c r="C70" s="189">
        <f>C65</f>
        <v>-98769</v>
      </c>
      <c r="D70" s="189">
        <f>C70</f>
        <v>-98769</v>
      </c>
    </row>
    <row r="71" spans="2:17">
      <c r="B71" t="s">
        <v>262</v>
      </c>
      <c r="C71" s="188">
        <f>C69-C70</f>
        <v>1221245.5450964132</v>
      </c>
      <c r="D71" s="188">
        <f>D69-D70</f>
        <v>1209493.8136547296</v>
      </c>
    </row>
    <row r="72" spans="2:17">
      <c r="B72" t="s">
        <v>212</v>
      </c>
      <c r="C72" s="188">
        <f>I61</f>
        <v>4471.5</v>
      </c>
      <c r="D72" s="188">
        <f>C72</f>
        <v>4471.5</v>
      </c>
    </row>
    <row r="73" spans="2:17">
      <c r="B73" s="13" t="s">
        <v>220</v>
      </c>
      <c r="C73" s="226">
        <f>C71/C72</f>
        <v>273.11764398891046</v>
      </c>
      <c r="D73" s="226">
        <f t="shared" ref="D73" si="14">D71/D72</f>
        <v>270.48950322145356</v>
      </c>
    </row>
    <row r="74" spans="2:17">
      <c r="B74" s="13"/>
      <c r="C74" s="226"/>
      <c r="D74" s="226"/>
    </row>
    <row r="75" spans="2:17">
      <c r="B75" s="16" t="s">
        <v>340</v>
      </c>
      <c r="C75" s="97" t="s">
        <v>218</v>
      </c>
      <c r="D75" s="97" t="s">
        <v>45</v>
      </c>
      <c r="E75" s="228"/>
      <c r="F75" s="228"/>
    </row>
    <row r="76" spans="2:17">
      <c r="B76" t="s">
        <v>308</v>
      </c>
      <c r="C76" s="227">
        <f>C69/$E$14</f>
        <v>3.9947501839097321</v>
      </c>
      <c r="D76" s="227">
        <f>D69/$E$14</f>
        <v>3.9529272776378765</v>
      </c>
      <c r="E76" s="228"/>
      <c r="F76" s="228"/>
    </row>
    <row r="77" spans="2:17">
      <c r="B77" t="s">
        <v>309</v>
      </c>
      <c r="C77" s="228">
        <f>C69/$E$16</f>
        <v>13.775000634171491</v>
      </c>
      <c r="D77" s="228">
        <f>D69/$E$16</f>
        <v>13.630783715992679</v>
      </c>
      <c r="E77" s="228"/>
      <c r="F77" s="228"/>
      <c r="G77" s="116"/>
      <c r="H77" s="116"/>
    </row>
    <row r="78" spans="2:17">
      <c r="B78" s="125" t="s">
        <v>310</v>
      </c>
      <c r="C78" s="228">
        <f>C69/$E$18</f>
        <v>16.23882188581192</v>
      </c>
      <c r="D78" s="228">
        <f>D69/$E$18</f>
        <v>16.068810071698685</v>
      </c>
      <c r="E78" s="228"/>
      <c r="F78" s="281"/>
    </row>
    <row r="79" spans="2:17">
      <c r="F79" s="116"/>
    </row>
    <row r="80" spans="2:17">
      <c r="B80" s="92" t="s">
        <v>325</v>
      </c>
      <c r="C80" s="92"/>
      <c r="D80" s="92"/>
      <c r="E80" s="92"/>
      <c r="F80" s="92"/>
      <c r="G80" s="92"/>
      <c r="H80" s="92"/>
      <c r="I80" s="92"/>
      <c r="J80" s="92"/>
      <c r="K80" s="92"/>
      <c r="L80" s="92"/>
      <c r="M80" s="92"/>
      <c r="N80" s="92"/>
      <c r="O80" s="92"/>
      <c r="P80" s="92"/>
      <c r="Q80" s="92"/>
    </row>
    <row r="81" spans="2:17">
      <c r="B81" s="13"/>
    </row>
    <row r="82" spans="2:17" ht="17.25" customHeight="1">
      <c r="B82" s="237"/>
      <c r="C82" s="13"/>
      <c r="D82" s="138" t="s">
        <v>220</v>
      </c>
      <c r="E82" s="139"/>
      <c r="F82" s="139"/>
      <c r="G82" s="139"/>
      <c r="H82" s="139"/>
      <c r="I82" s="139"/>
      <c r="J82" s="200"/>
      <c r="L82" s="138" t="s">
        <v>339</v>
      </c>
      <c r="M82" s="139"/>
      <c r="N82" s="139"/>
      <c r="O82" s="139"/>
      <c r="P82" s="139"/>
      <c r="Q82" s="139"/>
    </row>
    <row r="83" spans="2:17" ht="15" customHeight="1">
      <c r="B83" s="237"/>
      <c r="D83" s="26"/>
      <c r="E83" s="94" t="s">
        <v>221</v>
      </c>
      <c r="F83" s="94"/>
      <c r="G83" s="94"/>
      <c r="H83" s="94"/>
      <c r="I83" s="94"/>
      <c r="J83" s="202"/>
      <c r="L83" s="26"/>
      <c r="M83" s="94" t="s">
        <v>221</v>
      </c>
      <c r="N83" s="94"/>
      <c r="O83" s="94"/>
      <c r="P83" s="94"/>
      <c r="Q83" s="94"/>
    </row>
    <row r="84" spans="2:17" ht="15" customHeight="1">
      <c r="B84" s="237"/>
      <c r="C84" s="95"/>
      <c r="D84" s="282">
        <f>C73</f>
        <v>273.11764398891046</v>
      </c>
      <c r="E84" s="141">
        <f t="shared" ref="E84" si="15">F84-0.005</f>
        <v>1.9999999999999997E-2</v>
      </c>
      <c r="F84" s="142">
        <f>G84-0.005</f>
        <v>2.4999999999999998E-2</v>
      </c>
      <c r="G84" s="143">
        <v>0.03</v>
      </c>
      <c r="H84" s="142">
        <f>G84+0.005</f>
        <v>3.4999999999999996E-2</v>
      </c>
      <c r="I84" s="142">
        <f t="shared" ref="I84" si="16">H84+0.005</f>
        <v>3.9999999999999994E-2</v>
      </c>
      <c r="J84" s="203"/>
      <c r="L84" s="145">
        <f>C77</f>
        <v>13.775000634171491</v>
      </c>
      <c r="M84" s="141">
        <f t="shared" ref="M84" si="17">N84-0.005</f>
        <v>1.9999999999999997E-2</v>
      </c>
      <c r="N84" s="142">
        <f>O84-0.005</f>
        <v>2.4999999999999998E-2</v>
      </c>
      <c r="O84" s="143">
        <v>0.03</v>
      </c>
      <c r="P84" s="142">
        <f>O84+0.005</f>
        <v>3.4999999999999996E-2</v>
      </c>
      <c r="Q84" s="142">
        <f t="shared" ref="Q84" si="18">P84+0.005</f>
        <v>3.9999999999999994E-2</v>
      </c>
    </row>
    <row r="85" spans="2:17" ht="15" customHeight="1">
      <c r="B85" s="237"/>
      <c r="D85" s="146">
        <f t="shared" ref="D85" si="19">D86+0.005</f>
        <v>0.1</v>
      </c>
      <c r="E85" s="147">
        <f t="dataTable" ref="E85:I89" dt2D="1" dtr="1" r1="C42" r2="H4"/>
        <v>215.68062019924798</v>
      </c>
      <c r="F85" s="147">
        <v>225.65770486167816</v>
      </c>
      <c r="G85" s="147">
        <v>237.06008733302698</v>
      </c>
      <c r="H85" s="147">
        <v>250.21668249227559</v>
      </c>
      <c r="I85" s="147">
        <v>265.56604351139896</v>
      </c>
      <c r="J85" s="204"/>
      <c r="L85" s="146">
        <f t="shared" ref="L85" si="20">L86+0.005</f>
        <v>0.1</v>
      </c>
      <c r="M85" s="137">
        <f t="dataTable" ref="M85:Q89" dt2D="1" dtr="1" r1="C42" r2="H4" ca="1"/>
        <v>10.623194359987965</v>
      </c>
      <c r="N85" s="137">
        <v>11.170678125028855</v>
      </c>
      <c r="O85" s="137">
        <v>11.796373856504161</v>
      </c>
      <c r="P85" s="137">
        <v>12.518330469744898</v>
      </c>
      <c r="Q85" s="137">
        <v>13.360613185192424</v>
      </c>
    </row>
    <row r="86" spans="2:17" ht="15" customHeight="1">
      <c r="B86" s="237"/>
      <c r="D86" s="146">
        <f>D87+0.005</f>
        <v>9.5000000000000001E-2</v>
      </c>
      <c r="E86" s="147">
        <v>228.73641003115705</v>
      </c>
      <c r="F86" s="147">
        <v>240.32691025928392</v>
      </c>
      <c r="G86" s="147">
        <v>253.70056436866108</v>
      </c>
      <c r="H86" s="147">
        <v>269.30316082960104</v>
      </c>
      <c r="I86" s="147">
        <v>287.74259301071197</v>
      </c>
      <c r="J86" s="204"/>
      <c r="L86" s="146">
        <f>L87+0.005</f>
        <v>9.5000000000000001E-2</v>
      </c>
      <c r="M86" s="137">
        <v>11.339619369356896</v>
      </c>
      <c r="N86" s="137">
        <v>11.975637897644754</v>
      </c>
      <c r="O86" s="137">
        <v>12.70950543028459</v>
      </c>
      <c r="P86" s="137">
        <v>13.565684218364398</v>
      </c>
      <c r="Q86" s="137">
        <v>14.577531877004173</v>
      </c>
    </row>
    <row r="87" spans="2:17" ht="15" customHeight="1">
      <c r="B87" s="237"/>
      <c r="C87" s="95" t="s">
        <v>222</v>
      </c>
      <c r="D87" s="148">
        <v>0.09</v>
      </c>
      <c r="E87" s="147">
        <v>243.66113413110557</v>
      </c>
      <c r="F87" s="147">
        <v>257.25644637316935</v>
      </c>
      <c r="G87" s="147">
        <v>273.11764398891046</v>
      </c>
      <c r="H87" s="147">
        <v>291.86269571660455</v>
      </c>
      <c r="I87" s="147">
        <v>314.35675778983745</v>
      </c>
      <c r="J87" s="204"/>
      <c r="K87" s="95" t="s">
        <v>222</v>
      </c>
      <c r="L87" s="148">
        <v>0.09</v>
      </c>
      <c r="M87" s="137">
        <v>12.158600506522676</v>
      </c>
      <c r="N87" s="137">
        <v>12.904631334668281</v>
      </c>
      <c r="O87" s="137">
        <v>13.775000634171491</v>
      </c>
      <c r="P87" s="137">
        <v>14.803618897220739</v>
      </c>
      <c r="Q87" s="137">
        <v>16.037960812879835</v>
      </c>
    </row>
    <row r="88" spans="2:17" ht="15" customHeight="1">
      <c r="B88" s="237"/>
      <c r="D88" s="146">
        <f>D87-0.005</f>
        <v>8.4999999999999992E-2</v>
      </c>
      <c r="E88" s="147">
        <v>260.88617137072021</v>
      </c>
      <c r="F88" s="147">
        <v>277.01147494749239</v>
      </c>
      <c r="G88" s="147">
        <v>296.06865190185954</v>
      </c>
      <c r="H88" s="147">
        <v>318.93726424710013</v>
      </c>
      <c r="I88" s="147">
        <v>346.88779044683855</v>
      </c>
      <c r="J88" s="204"/>
      <c r="L88" s="146">
        <f>L87-0.005</f>
        <v>8.4999999999999992E-2</v>
      </c>
      <c r="M88" s="137">
        <v>13.103809308491162</v>
      </c>
      <c r="N88" s="137">
        <v>13.988671190828663</v>
      </c>
      <c r="O88" s="137">
        <v>15.034417051772985</v>
      </c>
      <c r="P88" s="137">
        <v>16.289312084906172</v>
      </c>
      <c r="Q88" s="137">
        <v>17.823072680957839</v>
      </c>
    </row>
    <row r="89" spans="2:17" ht="15" customHeight="1">
      <c r="B89" s="238" t="s">
        <v>223</v>
      </c>
      <c r="D89" s="149">
        <f>D88-0.005</f>
        <v>7.9999999999999988E-2</v>
      </c>
      <c r="E89" s="147">
        <v>280.98669607534595</v>
      </c>
      <c r="F89" s="147">
        <v>300.36267336606056</v>
      </c>
      <c r="G89" s="147">
        <v>323.61384611491815</v>
      </c>
      <c r="H89" s="147">
        <v>352.03194614129967</v>
      </c>
      <c r="I89" s="147">
        <v>387.55457117427648</v>
      </c>
      <c r="J89" s="204"/>
      <c r="L89" s="149">
        <f>L88-0.005</f>
        <v>7.9999999999999988E-2</v>
      </c>
      <c r="M89" s="137">
        <v>14.206807961597256</v>
      </c>
      <c r="N89" s="137">
        <v>15.270047711222009</v>
      </c>
      <c r="O89" s="137">
        <v>16.545935410771719</v>
      </c>
      <c r="P89" s="137">
        <v>18.105353710221362</v>
      </c>
      <c r="Q89" s="137">
        <v>20.054626584533416</v>
      </c>
    </row>
    <row r="90" spans="2:17" ht="15" customHeight="1">
      <c r="B90" s="238" t="s">
        <v>224</v>
      </c>
      <c r="E90" s="150"/>
      <c r="F90" s="150"/>
      <c r="G90" s="150"/>
      <c r="H90" s="150"/>
      <c r="I90" s="150"/>
      <c r="J90" s="205"/>
    </row>
    <row r="91" spans="2:17" ht="17.25" customHeight="1">
      <c r="B91" s="237"/>
      <c r="D91" s="138" t="s">
        <v>220</v>
      </c>
      <c r="E91" s="139"/>
      <c r="F91" s="139"/>
      <c r="G91" s="139"/>
      <c r="H91" s="139"/>
      <c r="I91" s="139"/>
      <c r="J91" s="200"/>
      <c r="L91" s="138" t="s">
        <v>339</v>
      </c>
      <c r="M91" s="139"/>
      <c r="N91" s="139"/>
      <c r="O91" s="139"/>
      <c r="P91" s="139"/>
      <c r="Q91" s="139"/>
    </row>
    <row r="92" spans="2:17" ht="15" customHeight="1">
      <c r="B92" s="237"/>
      <c r="E92" s="94" t="s">
        <v>225</v>
      </c>
      <c r="F92" s="94"/>
      <c r="G92" s="94"/>
      <c r="H92" s="94"/>
      <c r="I92" s="94"/>
      <c r="J92" s="202"/>
      <c r="M92" s="94" t="s">
        <v>225</v>
      </c>
      <c r="N92" s="94"/>
      <c r="O92" s="94"/>
      <c r="P92" s="94"/>
      <c r="Q92" s="94"/>
    </row>
    <row r="93" spans="2:17" ht="15" customHeight="1">
      <c r="B93" s="237"/>
      <c r="D93" s="151">
        <f>D73</f>
        <v>270.48950322145356</v>
      </c>
      <c r="E93" s="152">
        <f t="shared" ref="E93" si="21">F93-0.5</f>
        <v>11.5</v>
      </c>
      <c r="F93" s="152">
        <f>G93-0.5</f>
        <v>12</v>
      </c>
      <c r="G93" s="153">
        <v>12.5</v>
      </c>
      <c r="H93" s="152">
        <f>G93+0.5</f>
        <v>13</v>
      </c>
      <c r="I93" s="152">
        <f t="shared" ref="I93" si="22">H93+0.5</f>
        <v>13.5</v>
      </c>
      <c r="J93" s="206"/>
      <c r="L93" s="145">
        <f>D77</f>
        <v>13.630783715992679</v>
      </c>
      <c r="M93" s="152">
        <f t="shared" ref="M93" si="23">N93-0.5</f>
        <v>11.5</v>
      </c>
      <c r="N93" s="152">
        <f>O93-0.5</f>
        <v>12</v>
      </c>
      <c r="O93" s="153">
        <v>12.5</v>
      </c>
      <c r="P93" s="152">
        <f>O93+0.5</f>
        <v>13</v>
      </c>
      <c r="Q93" s="152">
        <f t="shared" ref="Q93" si="24">P93+0.5</f>
        <v>13.5</v>
      </c>
    </row>
    <row r="94" spans="2:17" ht="15" customHeight="1">
      <c r="B94" s="237"/>
      <c r="D94" s="146">
        <f t="shared" ref="D94" si="25">D95+0.005</f>
        <v>0.1</v>
      </c>
      <c r="E94" s="147">
        <f t="dataTable" ref="E94:I98" dt2D="1" dtr="1" r1="I43" r2="H4" ca="1"/>
        <v>246.48594791760073</v>
      </c>
      <c r="F94" s="147">
        <v>253.85888293046119</v>
      </c>
      <c r="G94" s="147">
        <v>261.23181794332169</v>
      </c>
      <c r="H94" s="147">
        <v>268.60475295618215</v>
      </c>
      <c r="I94" s="147">
        <v>275.97768796904262</v>
      </c>
      <c r="J94" s="204"/>
      <c r="L94" s="146">
        <f t="shared" ref="L94" si="26">L95+0.005</f>
        <v>0.1</v>
      </c>
      <c r="M94" s="137">
        <f t="dataTable" ref="M94:Q98" dt2D="1" dtr="1" r1="I43" r2="H4" ca="1"/>
        <v>12.31360968402254</v>
      </c>
      <c r="N94" s="137">
        <v>12.718193022424265</v>
      </c>
      <c r="O94" s="137">
        <v>13.122776360825991</v>
      </c>
      <c r="P94" s="137">
        <v>13.527359699227718</v>
      </c>
      <c r="Q94" s="137">
        <v>13.931943037629443</v>
      </c>
    </row>
    <row r="95" spans="2:17" ht="15" customHeight="1">
      <c r="B95" s="237"/>
      <c r="D95" s="146">
        <f>D96+0.005</f>
        <v>9.5000000000000001E-2</v>
      </c>
      <c r="E95" s="147">
        <v>250.74590014988414</v>
      </c>
      <c r="F95" s="147">
        <v>258.27469645473457</v>
      </c>
      <c r="G95" s="147">
        <v>265.80349275958497</v>
      </c>
      <c r="H95" s="147">
        <v>273.33228906443537</v>
      </c>
      <c r="I95" s="147">
        <v>280.86108536928577</v>
      </c>
      <c r="J95" s="204"/>
      <c r="L95" s="146">
        <f>L96+0.005</f>
        <v>9.5000000000000001E-2</v>
      </c>
      <c r="M95" s="137">
        <v>12.54737082426897</v>
      </c>
      <c r="N95" s="137">
        <v>12.960506914286018</v>
      </c>
      <c r="O95" s="137">
        <v>13.373643004303066</v>
      </c>
      <c r="P95" s="137">
        <v>13.78677909432011</v>
      </c>
      <c r="Q95" s="137">
        <v>14.199915184337158</v>
      </c>
    </row>
    <row r="96" spans="2:17" ht="15" customHeight="1">
      <c r="B96" s="237"/>
      <c r="C96" s="95" t="s">
        <v>222</v>
      </c>
      <c r="D96" s="148">
        <v>0.09</v>
      </c>
      <c r="E96" s="147">
        <v>255.11212614708694</v>
      </c>
      <c r="F96" s="147">
        <v>262.80081468427022</v>
      </c>
      <c r="G96" s="147">
        <v>270.48950322145356</v>
      </c>
      <c r="H96" s="147">
        <v>278.17819175863684</v>
      </c>
      <c r="I96" s="147">
        <v>285.86688029582018</v>
      </c>
      <c r="J96" s="204"/>
      <c r="K96" s="95" t="s">
        <v>222</v>
      </c>
      <c r="L96" s="148">
        <v>0.09</v>
      </c>
      <c r="M96" s="137">
        <v>12.786963644100345</v>
      </c>
      <c r="N96" s="137">
        <v>13.20887368004651</v>
      </c>
      <c r="O96" s="137">
        <v>13.630783715992679</v>
      </c>
      <c r="P96" s="137">
        <v>14.052693751938843</v>
      </c>
      <c r="Q96" s="137">
        <v>14.474603787885012</v>
      </c>
    </row>
    <row r="97" spans="2:17" ht="15" customHeight="1">
      <c r="B97" s="237"/>
      <c r="D97" s="146">
        <f>D96-0.005</f>
        <v>8.4999999999999992E-2</v>
      </c>
      <c r="E97" s="147">
        <v>259.58782156830137</v>
      </c>
      <c r="F97" s="147">
        <v>267.44055674137559</v>
      </c>
      <c r="G97" s="147">
        <v>275.29329191444981</v>
      </c>
      <c r="H97" s="147">
        <v>283.14602708752403</v>
      </c>
      <c r="I97" s="147">
        <v>290.99876226059826</v>
      </c>
      <c r="J97" s="204"/>
      <c r="L97" s="146">
        <f>L96-0.005</f>
        <v>8.4999999999999992E-2</v>
      </c>
      <c r="M97" s="137">
        <v>13.032563502504866</v>
      </c>
      <c r="N97" s="137">
        <v>13.463475453629524</v>
      </c>
      <c r="O97" s="137">
        <v>13.894387404754186</v>
      </c>
      <c r="P97" s="137">
        <v>14.325299355878846</v>
      </c>
      <c r="Q97" s="137">
        <v>14.756211307003507</v>
      </c>
    </row>
    <row r="98" spans="2:17" ht="15" customHeight="1">
      <c r="B98" s="237"/>
      <c r="D98" s="149">
        <f>D97-0.005</f>
        <v>7.9999999999999988E-2</v>
      </c>
      <c r="E98" s="147">
        <v>264.17629406737831</v>
      </c>
      <c r="F98" s="147">
        <v>272.1973581186349</v>
      </c>
      <c r="G98" s="147">
        <v>280.21842216989148</v>
      </c>
      <c r="H98" s="147">
        <v>288.23948622114807</v>
      </c>
      <c r="I98" s="147">
        <v>296.2605502724046</v>
      </c>
      <c r="J98" s="204"/>
      <c r="L98" s="149">
        <f>L97-0.005</f>
        <v>7.9999999999999988E-2</v>
      </c>
      <c r="M98" s="137">
        <v>13.284351904084826</v>
      </c>
      <c r="N98" s="137">
        <v>13.724500754675661</v>
      </c>
      <c r="O98" s="137">
        <v>14.164649605266495</v>
      </c>
      <c r="P98" s="137">
        <v>14.604798455857331</v>
      </c>
      <c r="Q98" s="137">
        <v>15.044947306448167</v>
      </c>
    </row>
    <row r="99" spans="2:17">
      <c r="J99" s="90"/>
    </row>
    <row r="100" spans="2:17">
      <c r="B100" s="121" t="s">
        <v>226</v>
      </c>
      <c r="C100" s="121"/>
      <c r="D100" s="121"/>
      <c r="E100" s="121"/>
      <c r="G100" s="121" t="s">
        <v>227</v>
      </c>
      <c r="H100" s="121"/>
      <c r="I100" s="121"/>
      <c r="J100" s="201"/>
      <c r="K100" s="121"/>
      <c r="L100" s="121"/>
      <c r="M100" s="121"/>
      <c r="N100" s="121"/>
      <c r="O100" s="121"/>
      <c r="P100" s="121"/>
    </row>
    <row r="101" spans="2:17">
      <c r="J101" s="90"/>
    </row>
    <row r="102" spans="2:17">
      <c r="J102" s="90"/>
    </row>
    <row r="103" spans="2:17">
      <c r="J103" s="90"/>
    </row>
    <row r="104" spans="2:17">
      <c r="J104" s="90"/>
    </row>
    <row r="105" spans="2:17">
      <c r="J105" s="90"/>
    </row>
    <row r="106" spans="2:17">
      <c r="J106" s="90"/>
    </row>
    <row r="107" spans="2:17">
      <c r="J107" s="90"/>
    </row>
    <row r="108" spans="2:17">
      <c r="J108" s="90"/>
    </row>
    <row r="109" spans="2:17">
      <c r="J109" s="90"/>
    </row>
    <row r="110" spans="2:17">
      <c r="J110" s="90"/>
    </row>
    <row r="111" spans="2:17">
      <c r="J111" s="90"/>
    </row>
    <row r="112" spans="2:17">
      <c r="J112" s="90"/>
    </row>
    <row r="113" spans="2:17">
      <c r="J113" s="90"/>
    </row>
    <row r="114" spans="2:17">
      <c r="J114" s="90"/>
      <c r="M114" s="106"/>
    </row>
    <row r="115" spans="2:17">
      <c r="J115" s="90"/>
    </row>
    <row r="116" spans="2:17">
      <c r="J116" s="90"/>
    </row>
    <row r="117" spans="2:17">
      <c r="J117" s="90"/>
    </row>
    <row r="118" spans="2:17">
      <c r="J118" s="90"/>
    </row>
    <row r="119" spans="2:17">
      <c r="J119" s="90"/>
    </row>
    <row r="120" spans="2:17">
      <c r="J120" s="90"/>
    </row>
    <row r="121" spans="2:17">
      <c r="B121" s="155"/>
      <c r="C121" s="156" t="s">
        <v>228</v>
      </c>
      <c r="D121" s="156" t="s">
        <v>229</v>
      </c>
      <c r="E121" s="157" t="s">
        <v>230</v>
      </c>
      <c r="G121" s="155"/>
      <c r="H121" s="128"/>
      <c r="I121" s="128"/>
      <c r="J121" s="207"/>
      <c r="K121" s="128"/>
      <c r="L121" s="128"/>
      <c r="M121" s="128"/>
      <c r="N121" s="128"/>
      <c r="O121" s="156" t="s">
        <v>228</v>
      </c>
      <c r="P121" s="156" t="s">
        <v>229</v>
      </c>
      <c r="Q121" s="157" t="s">
        <v>230</v>
      </c>
    </row>
    <row r="122" spans="2:17">
      <c r="B122" s="158" t="str">
        <f>"DCF Value at "&amp;TEXT(E93,"0.0x")&amp;"-"&amp;TEXT(I93,"0.0x")&amp;" Exit EBITDA Range at "&amp;TEXT(D96,"0.0%")&amp;" WACC"</f>
        <v>DCF Value at 11.5x-13.5x Exit EBITDA Range at 9.0% WACC</v>
      </c>
      <c r="C122" s="100">
        <f>E96</f>
        <v>255.11212614708694</v>
      </c>
      <c r="D122" s="100">
        <f>E122-C122</f>
        <v>30.754754148733241</v>
      </c>
      <c r="E122" s="159">
        <f>I96</f>
        <v>285.86688029582018</v>
      </c>
      <c r="G122" s="158" t="str">
        <f>"LTM EBITDA Purchase Multiple at "&amp;TEXT(M84,"0.0%")&amp;"-"&amp;TEXT(Q84,"0.0%")&amp;" Perpetuity Growth at "&amp;TEXT(L87,"0.0%")&amp;" WACC"</f>
        <v>LTM EBITDA Purchase Multiple at 2.0%-4.0% Perpetuity Growth at 9.0% WACC</v>
      </c>
      <c r="J122" s="90"/>
      <c r="O122" s="98">
        <f>M87</f>
        <v>12.158600506522676</v>
      </c>
      <c r="P122" s="98">
        <f>Q122-O122</f>
        <v>3.8793603063571584</v>
      </c>
      <c r="Q122" s="160">
        <f>Q87</f>
        <v>16.037960812879835</v>
      </c>
    </row>
    <row r="123" spans="2:17">
      <c r="B123" s="161" t="str">
        <f>"DCF Value at "&amp;TEXT(E84,"0.0%")&amp;"-"&amp;TEXT(I84,"0.0%")&amp;" Perpetuity Range at "&amp;TEXT(D96,"0.0%")&amp;" WACC"</f>
        <v>DCF Value at 2.0%-4.0% Perpetuity Range at 9.0% WACC</v>
      </c>
      <c r="C123" s="100">
        <f>E87</f>
        <v>243.66113413110557</v>
      </c>
      <c r="D123" s="100">
        <f>E123-C123</f>
        <v>70.695623658731876</v>
      </c>
      <c r="E123" s="159">
        <f>I87</f>
        <v>314.35675778983745</v>
      </c>
      <c r="G123" s="161" t="str">
        <f>"LTM EBITDA Purchase Multiple at "&amp;TEXT(M96,"0.0x")&amp;"-"&amp;TEXT(Q96,"0.0x")&amp;" Exit EBITDA Multiple at "&amp;TEXT(L96,"0.0%")&amp;" WACC"</f>
        <v>LTM EBITDA Purchase Multiple at 12.8x-14.5x Exit EBITDA Multiple at 9.0% WACC</v>
      </c>
      <c r="J123" s="90"/>
      <c r="O123" s="98">
        <f>M96</f>
        <v>12.786963644100345</v>
      </c>
      <c r="P123" s="98">
        <f>Q123-O123</f>
        <v>1.6876401437846678</v>
      </c>
      <c r="Q123" s="160">
        <f>Q96</f>
        <v>14.474603787885012</v>
      </c>
    </row>
    <row r="124" spans="2:17">
      <c r="B124" s="162" t="s">
        <v>231</v>
      </c>
      <c r="C124" s="283">
        <v>169.5</v>
      </c>
      <c r="D124" s="283">
        <f>E124-C124</f>
        <v>158.35000000000002</v>
      </c>
      <c r="E124" s="284">
        <v>327.85</v>
      </c>
      <c r="G124" s="162" t="str">
        <f>"LTM EBITDA Purchase Multiple at "&amp;TEXT(L98,"0.0%")&amp;"-"&amp;TEXT(L94,"0.0%")&amp;" WACC at "&amp;TEXT(O93,"0.0x")&amp;" Exit EBITDA"</f>
        <v>LTM EBITDA Purchase Multiple at 8.0%-10.0% WACC at 12.5x Exit EBITDA</v>
      </c>
      <c r="H124" s="5"/>
      <c r="I124" s="5"/>
      <c r="J124" s="208"/>
      <c r="K124" s="5"/>
      <c r="L124" s="5"/>
      <c r="M124" s="5"/>
      <c r="N124" s="5"/>
      <c r="O124" s="163">
        <f>O94</f>
        <v>13.122776360825991</v>
      </c>
      <c r="P124" s="163">
        <f>Q124-O124</f>
        <v>1.0418732444405041</v>
      </c>
      <c r="Q124" s="164">
        <f>O98</f>
        <v>14.164649605266495</v>
      </c>
    </row>
    <row r="125" spans="2:17">
      <c r="J125" s="90"/>
    </row>
    <row r="126" spans="2:17">
      <c r="J126" s="90"/>
    </row>
  </sheetData>
  <conditionalFormatting sqref="E85:J89 E94:J98">
    <cfRule type="cellIs" dxfId="7" priority="1" operator="lessThan">
      <formula>$C$7</formula>
    </cfRule>
  </conditionalFormatting>
  <dataValidations count="1">
    <dataValidation type="list" allowBlank="1" showInputMessage="1" showErrorMessage="1" sqref="H7" xr:uid="{ECEF31E0-B724-4CA1-991E-BC0B53005515}">
      <formula1>"0,1"</formula1>
    </dataValidation>
  </dataValidations>
  <pageMargins left="0.7" right="0.7" top="0.75" bottom="0.75" header="0.3" footer="0.3"/>
  <pageSetup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68673F-A892-4FC2-8748-C750D5931E59}">
  <sheetPr>
    <tabColor theme="7"/>
  </sheetPr>
  <dimension ref="B1:I46"/>
  <sheetViews>
    <sheetView topLeftCell="A32" zoomScaleNormal="100" workbookViewId="0">
      <selection activeCell="F23" sqref="F23"/>
    </sheetView>
  </sheetViews>
  <sheetFormatPr defaultColWidth="9.08984375" defaultRowHeight="14.5"/>
  <cols>
    <col min="1" max="1" width="1.453125" customWidth="1"/>
    <col min="2" max="2" width="50.36328125" customWidth="1"/>
    <col min="3" max="3" width="13.453125" customWidth="1"/>
    <col min="4" max="9" width="12.6328125" customWidth="1"/>
    <col min="10" max="10" width="1.6328125" customWidth="1"/>
    <col min="11" max="11" width="11" bestFit="1" customWidth="1"/>
    <col min="12" max="16" width="9.453125" customWidth="1"/>
  </cols>
  <sheetData>
    <row r="1" spans="2:9" ht="15" thickBot="1"/>
    <row r="2" spans="2:9" ht="15" thickBot="1">
      <c r="B2" s="52" t="s">
        <v>232</v>
      </c>
      <c r="C2" s="41"/>
      <c r="D2" s="41"/>
      <c r="E2" s="41"/>
      <c r="F2" s="41"/>
      <c r="G2" s="41"/>
      <c r="H2" s="41"/>
      <c r="I2" s="41"/>
    </row>
    <row r="3" spans="2:9">
      <c r="B3" s="337" t="str">
        <f>'Financials '!$B$3</f>
        <v xml:space="preserve">$ and shares in millions, except per share data </v>
      </c>
    </row>
    <row r="4" spans="2:9" ht="15" customHeight="1">
      <c r="B4" s="242" t="s">
        <v>233</v>
      </c>
      <c r="C4" s="240"/>
      <c r="D4" s="240"/>
      <c r="E4" s="241"/>
      <c r="F4" s="233"/>
    </row>
    <row r="5" spans="2:9">
      <c r="E5" s="16" t="s">
        <v>235</v>
      </c>
    </row>
    <row r="6" spans="2:9" ht="15" customHeight="1">
      <c r="B6" t="s">
        <v>236</v>
      </c>
      <c r="C6" s="302">
        <f>0.0175</f>
        <v>1.7500000000000002E-2</v>
      </c>
      <c r="E6" t="s">
        <v>363</v>
      </c>
    </row>
    <row r="7" spans="2:9" ht="15" customHeight="1">
      <c r="B7" t="s">
        <v>0</v>
      </c>
      <c r="C7" s="303">
        <f>'Simple DCF Empty'!I22</f>
        <v>0.17299999999999999</v>
      </c>
      <c r="E7" t="s">
        <v>391</v>
      </c>
    </row>
    <row r="8" spans="2:9" ht="15" customHeight="1">
      <c r="B8" t="s">
        <v>313</v>
      </c>
      <c r="C8" s="307">
        <f>C6*(1-C7)</f>
        <v>1.4472500000000001E-2</v>
      </c>
      <c r="E8" t="s">
        <v>392</v>
      </c>
    </row>
    <row r="10" spans="2:9">
      <c r="B10" t="s">
        <v>315</v>
      </c>
      <c r="C10" s="302">
        <v>1.23E-2</v>
      </c>
      <c r="E10" t="s">
        <v>364</v>
      </c>
    </row>
    <row r="11" spans="2:9">
      <c r="B11" t="s">
        <v>314</v>
      </c>
      <c r="C11" s="292">
        <f>IF(C32="Observed",C34,C35)</f>
        <v>1.099</v>
      </c>
      <c r="E11" t="s">
        <v>365</v>
      </c>
    </row>
    <row r="12" spans="2:9" ht="15" customHeight="1">
      <c r="B12" t="s">
        <v>238</v>
      </c>
      <c r="C12" s="314">
        <v>5.5E-2</v>
      </c>
      <c r="E12" t="s">
        <v>366</v>
      </c>
    </row>
    <row r="13" spans="2:9">
      <c r="B13" t="s">
        <v>239</v>
      </c>
      <c r="C13" s="312">
        <f>C10+C11*C12</f>
        <v>7.2745000000000004E-2</v>
      </c>
      <c r="E13" t="s">
        <v>393</v>
      </c>
    </row>
    <row r="14" spans="2:9">
      <c r="C14" s="165"/>
    </row>
    <row r="15" spans="2:9">
      <c r="B15" s="4" t="s">
        <v>330</v>
      </c>
      <c r="C15" s="5"/>
      <c r="D15" s="5"/>
      <c r="E15" s="5"/>
    </row>
    <row r="16" spans="2:9">
      <c r="B16" s="13"/>
      <c r="C16" s="95"/>
      <c r="D16" s="95" t="s">
        <v>328</v>
      </c>
    </row>
    <row r="17" spans="2:6" ht="16">
      <c r="C17" s="166" t="s">
        <v>327</v>
      </c>
      <c r="D17" s="166" t="s">
        <v>329</v>
      </c>
      <c r="E17" s="166" t="s">
        <v>240</v>
      </c>
    </row>
    <row r="18" spans="2:6">
      <c r="B18" t="s">
        <v>331</v>
      </c>
      <c r="C18" s="308">
        <f>'Simple DCF Done'!H5*'Simple DCF Done'!I61</f>
        <v>1223044.68</v>
      </c>
      <c r="D18" s="309"/>
      <c r="E18" s="310">
        <f>IF(D18,D18,C18/(C18+C19))</f>
        <v>1.0878512288018185</v>
      </c>
    </row>
    <row r="19" spans="2:6">
      <c r="B19" t="s">
        <v>246</v>
      </c>
      <c r="C19" s="308">
        <f>'Simple DCF Done'!C65</f>
        <v>-98769</v>
      </c>
      <c r="D19" s="311">
        <f>1-D18</f>
        <v>1</v>
      </c>
      <c r="E19" s="310">
        <f>1-E18</f>
        <v>-8.7851228801818504E-2</v>
      </c>
    </row>
    <row r="21" spans="2:6">
      <c r="B21" s="126" t="s">
        <v>241</v>
      </c>
      <c r="C21" s="127"/>
      <c r="D21" s="128"/>
      <c r="E21" s="168">
        <f>C8*E19+C13*E18</f>
        <v>7.7864310730353978E-2</v>
      </c>
    </row>
    <row r="22" spans="2:6">
      <c r="B22" s="17"/>
      <c r="C22" s="196"/>
    </row>
    <row r="23" spans="2:6">
      <c r="B23" s="4" t="s">
        <v>249</v>
      </c>
      <c r="C23" s="5"/>
      <c r="D23" s="5"/>
      <c r="E23" s="5"/>
      <c r="F23" s="5"/>
    </row>
    <row r="24" spans="2:6">
      <c r="D24" s="94" t="s">
        <v>237</v>
      </c>
      <c r="E24" s="327"/>
      <c r="F24" s="94"/>
    </row>
    <row r="25" spans="2:6">
      <c r="C25" s="173">
        <f>E21</f>
        <v>7.7864310730353978E-2</v>
      </c>
      <c r="D25" s="174">
        <f>E25-0.1</f>
        <v>0.999</v>
      </c>
      <c r="E25" s="328">
        <v>1.099</v>
      </c>
      <c r="F25" s="175">
        <f>E25+0.1</f>
        <v>1.1990000000000001</v>
      </c>
    </row>
    <row r="26" spans="2:6">
      <c r="C26" s="176">
        <f>C27-0.005</f>
        <v>4.5000000000000005E-2</v>
      </c>
      <c r="D26" s="177">
        <v>6.1013495196213796E-2</v>
      </c>
      <c r="E26" s="49">
        <v>6.590882572582199E-2</v>
      </c>
      <c r="F26" s="49">
        <v>7.080415625543017E-2</v>
      </c>
    </row>
    <row r="27" spans="2:6">
      <c r="B27" s="95" t="s">
        <v>250</v>
      </c>
      <c r="C27" s="176">
        <f>C28-0.005</f>
        <v>0.05</v>
      </c>
      <c r="D27" s="49">
        <v>6.6447312084078877E-2</v>
      </c>
      <c r="E27" s="49">
        <v>7.1886568228087977E-2</v>
      </c>
      <c r="F27" s="49">
        <v>7.7325824372097077E-2</v>
      </c>
    </row>
    <row r="28" spans="2:6">
      <c r="B28" s="95" t="s">
        <v>251</v>
      </c>
      <c r="C28" s="178">
        <v>5.5E-2</v>
      </c>
      <c r="D28" s="49">
        <v>7.1881128971943958E-2</v>
      </c>
      <c r="E28" s="49">
        <v>7.7864310730353978E-2</v>
      </c>
      <c r="F28" s="49">
        <v>8.3847492488763983E-2</v>
      </c>
    </row>
    <row r="29" spans="2:6">
      <c r="B29" s="95" t="s">
        <v>252</v>
      </c>
      <c r="C29" s="176">
        <f>C28+0.005</f>
        <v>0.06</v>
      </c>
      <c r="D29" s="49">
        <v>7.7314945859809053E-2</v>
      </c>
      <c r="E29" s="49">
        <v>8.3842053232619965E-2</v>
      </c>
      <c r="F29" s="49">
        <v>9.0369160605430876E-2</v>
      </c>
    </row>
    <row r="30" spans="2:6">
      <c r="C30" s="176">
        <f>C29+0.005</f>
        <v>6.5000000000000002E-2</v>
      </c>
      <c r="D30" s="49">
        <v>8.2748762747674148E-2</v>
      </c>
      <c r="E30" s="49">
        <v>8.9819795734885952E-2</v>
      </c>
      <c r="F30" s="49">
        <v>9.6890828722097783E-2</v>
      </c>
    </row>
    <row r="31" spans="2:6">
      <c r="C31" s="329"/>
      <c r="D31" s="49"/>
      <c r="E31" s="49"/>
      <c r="F31" s="49"/>
    </row>
    <row r="32" spans="2:6">
      <c r="B32" t="s">
        <v>368</v>
      </c>
      <c r="C32" s="239" t="s">
        <v>336</v>
      </c>
    </row>
    <row r="34" spans="2:9">
      <c r="B34" s="17" t="s">
        <v>336</v>
      </c>
      <c r="C34" s="196">
        <v>1.099</v>
      </c>
      <c r="D34" t="s">
        <v>365</v>
      </c>
    </row>
    <row r="35" spans="2:9">
      <c r="B35" s="17" t="s">
        <v>323</v>
      </c>
      <c r="C35" s="133">
        <f>C46</f>
        <v>1.1781380433297848</v>
      </c>
      <c r="D35" t="s">
        <v>337</v>
      </c>
    </row>
    <row r="37" spans="2:9">
      <c r="B37" s="4" t="s">
        <v>323</v>
      </c>
      <c r="C37" s="4"/>
      <c r="D37" s="5"/>
      <c r="E37" s="5"/>
      <c r="F37" s="5"/>
      <c r="G37" s="5"/>
      <c r="H37" s="5"/>
      <c r="I37" s="5"/>
    </row>
    <row r="38" spans="2:9">
      <c r="H38" s="232"/>
    </row>
    <row r="39" spans="2:9" ht="15" thickBot="1">
      <c r="C39" s="169" t="s">
        <v>242</v>
      </c>
      <c r="D39" s="169" t="s">
        <v>243</v>
      </c>
      <c r="E39" s="169" t="s">
        <v>244</v>
      </c>
      <c r="F39" s="169" t="s">
        <v>245</v>
      </c>
      <c r="G39" s="170" t="s">
        <v>324</v>
      </c>
      <c r="H39" s="169" t="s">
        <v>0</v>
      </c>
      <c r="I39" s="169" t="s">
        <v>247</v>
      </c>
    </row>
    <row r="40" spans="2:9">
      <c r="B40" s="115" t="s">
        <v>332</v>
      </c>
      <c r="C40" s="196">
        <v>1.21</v>
      </c>
      <c r="D40" s="171">
        <v>136.96</v>
      </c>
      <c r="E40" s="2">
        <v>7662.8</v>
      </c>
      <c r="F40" s="15">
        <f>D40*E40</f>
        <v>1049497.088</v>
      </c>
      <c r="G40" s="2">
        <f>86343-131536</f>
        <v>-45193</v>
      </c>
      <c r="H40" s="19">
        <v>0.16400000000000001</v>
      </c>
      <c r="I40" s="133">
        <f>C40/(1+(1-H40)*(G40)/F40)</f>
        <v>1.2551860431468624</v>
      </c>
    </row>
    <row r="41" spans="2:9">
      <c r="B41" s="115" t="s">
        <v>333</v>
      </c>
      <c r="C41" s="196">
        <v>0.96</v>
      </c>
      <c r="D41" s="171">
        <v>1116.79</v>
      </c>
      <c r="E41" s="2">
        <v>694.2</v>
      </c>
      <c r="F41" s="15">
        <f>D41*E41</f>
        <v>775275.61800000002</v>
      </c>
      <c r="G41" s="2">
        <f>12272-113488</f>
        <v>-101216</v>
      </c>
      <c r="H41" s="19">
        <v>0.13900000000000001</v>
      </c>
      <c r="I41" s="133">
        <f t="shared" ref="I41:I43" si="0">C41/(1+(1-H41)*(G41)/F41)</f>
        <v>1.0815776990721453</v>
      </c>
    </row>
    <row r="42" spans="2:9">
      <c r="B42" s="115" t="s">
        <v>334</v>
      </c>
      <c r="C42" s="196">
        <v>1.58</v>
      </c>
      <c r="D42" s="171">
        <v>1952.32</v>
      </c>
      <c r="E42" s="2">
        <v>492.3</v>
      </c>
      <c r="F42" s="15">
        <f>D42*E42</f>
        <v>961127.13599999994</v>
      </c>
      <c r="G42" s="2">
        <f>69005-37020</f>
        <v>31985</v>
      </c>
      <c r="H42" s="19">
        <v>0.127</v>
      </c>
      <c r="I42" s="133">
        <f t="shared" si="0"/>
        <v>1.5353933693229584</v>
      </c>
    </row>
    <row r="43" spans="2:9">
      <c r="B43" s="115" t="s">
        <v>335</v>
      </c>
      <c r="C43" s="215">
        <f>C34</f>
        <v>1.099</v>
      </c>
      <c r="D43" s="230"/>
      <c r="E43" s="231"/>
      <c r="F43" s="23">
        <f>C18</f>
        <v>1223044.68</v>
      </c>
      <c r="G43" s="23">
        <f>C19</f>
        <v>-98769</v>
      </c>
      <c r="H43" s="334">
        <f>C7</f>
        <v>0.17299999999999999</v>
      </c>
      <c r="I43" s="133">
        <f t="shared" si="0"/>
        <v>1.1776502625326248</v>
      </c>
    </row>
    <row r="44" spans="2:9">
      <c r="C44" s="133"/>
      <c r="F44" s="15"/>
      <c r="G44" s="15"/>
      <c r="H44" s="15"/>
      <c r="I44" s="3"/>
    </row>
    <row r="45" spans="2:9">
      <c r="B45" t="s">
        <v>248</v>
      </c>
      <c r="C45" s="133">
        <f>AVERAGE(I40:I43)</f>
        <v>1.2624518435186478</v>
      </c>
    </row>
    <row r="46" spans="2:9">
      <c r="B46" s="13" t="str">
        <f>B43&amp;" beta"</f>
        <v>Apple (AAPL) beta</v>
      </c>
      <c r="C46" s="217">
        <f>C45*(1+(1-H43)*(G43)/F43)</f>
        <v>1.1781380433297848</v>
      </c>
    </row>
  </sheetData>
  <conditionalFormatting sqref="B22:C24">
    <cfRule type="expression" dxfId="6" priority="2">
      <formula>#REF!="Industry"</formula>
    </cfRule>
  </conditionalFormatting>
  <dataValidations count="1">
    <dataValidation type="list" allowBlank="1" showInputMessage="1" showErrorMessage="1" sqref="C32" xr:uid="{4C2F8FE6-6ABC-4CEA-B1CF-207B9A4E74A6}">
      <formula1>"Industry, Observed"</formula1>
    </dataValidation>
  </dataValidations>
  <pageMargins left="0.7" right="0.7" top="0.75" bottom="0.75" header="0.3" footer="0.3"/>
  <pageSetup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229DE1-5B57-46D5-A47D-B4326C7F83CA}">
  <sheetPr>
    <tabColor theme="7"/>
  </sheetPr>
  <dimension ref="B1:I47"/>
  <sheetViews>
    <sheetView topLeftCell="A31" zoomScaleNormal="100" workbookViewId="0">
      <selection activeCell="E21" sqref="E21"/>
    </sheetView>
  </sheetViews>
  <sheetFormatPr defaultColWidth="9.08984375" defaultRowHeight="14.5"/>
  <cols>
    <col min="1" max="1" width="1.453125" customWidth="1"/>
    <col min="2" max="2" width="50.36328125" customWidth="1"/>
    <col min="3" max="3" width="13.453125" customWidth="1"/>
    <col min="4" max="9" width="12.6328125" customWidth="1"/>
    <col min="10" max="10" width="1.6328125" customWidth="1"/>
    <col min="11" max="11" width="11" bestFit="1" customWidth="1"/>
    <col min="12" max="16" width="9.453125" customWidth="1"/>
  </cols>
  <sheetData>
    <row r="1" spans="2:9" ht="15" thickBot="1"/>
    <row r="2" spans="2:9" ht="15" thickBot="1">
      <c r="B2" s="52" t="s">
        <v>232</v>
      </c>
      <c r="C2" s="41"/>
      <c r="D2" s="41"/>
      <c r="E2" s="41"/>
      <c r="F2" s="41"/>
      <c r="G2" s="41"/>
      <c r="H2" s="41"/>
      <c r="I2" s="41"/>
    </row>
    <row r="3" spans="2:9">
      <c r="B3" s="337" t="str">
        <f>'Financials '!$B$3</f>
        <v xml:space="preserve">$ and shares in millions, except per share data </v>
      </c>
    </row>
    <row r="4" spans="2:9" ht="15" customHeight="1">
      <c r="B4" s="242" t="s">
        <v>233</v>
      </c>
      <c r="C4" s="240"/>
      <c r="D4" s="1"/>
      <c r="E4" s="241"/>
      <c r="F4" s="233"/>
    </row>
    <row r="5" spans="2:9">
      <c r="E5" s="16" t="s">
        <v>235</v>
      </c>
    </row>
    <row r="6" spans="2:9" ht="15" customHeight="1">
      <c r="B6" t="s">
        <v>236</v>
      </c>
      <c r="C6" s="33">
        <v>1.7500000000000002E-2</v>
      </c>
      <c r="E6" t="s">
        <v>363</v>
      </c>
    </row>
    <row r="7" spans="2:9" ht="15" customHeight="1">
      <c r="B7" t="s">
        <v>0</v>
      </c>
      <c r="C7" s="304">
        <f>'Simple DCF Done'!I22</f>
        <v>0.17299999999999999</v>
      </c>
      <c r="E7" t="s">
        <v>391</v>
      </c>
    </row>
    <row r="8" spans="2:9" ht="15" customHeight="1">
      <c r="B8" t="s">
        <v>313</v>
      </c>
      <c r="C8" s="89">
        <f>C6*(1-C7)</f>
        <v>1.4472500000000001E-2</v>
      </c>
      <c r="E8" t="s">
        <v>392</v>
      </c>
    </row>
    <row r="10" spans="2:9">
      <c r="B10" t="s">
        <v>315</v>
      </c>
      <c r="C10" s="33">
        <v>1.23E-2</v>
      </c>
      <c r="E10" t="s">
        <v>364</v>
      </c>
    </row>
    <row r="11" spans="2:9">
      <c r="B11" t="s">
        <v>314</v>
      </c>
      <c r="C11" s="215">
        <f>IF(C32="Observed",C34,C35)</f>
        <v>1.099</v>
      </c>
      <c r="E11" t="s">
        <v>365</v>
      </c>
    </row>
    <row r="12" spans="2:9">
      <c r="B12" t="s">
        <v>238</v>
      </c>
      <c r="C12" s="33">
        <v>5.5E-2</v>
      </c>
      <c r="E12" t="s">
        <v>366</v>
      </c>
    </row>
    <row r="13" spans="2:9">
      <c r="B13" t="s">
        <v>239</v>
      </c>
      <c r="C13" s="165">
        <f>C10+C11*C12</f>
        <v>7.2745000000000004E-2</v>
      </c>
      <c r="E13" t="s">
        <v>393</v>
      </c>
    </row>
    <row r="15" spans="2:9">
      <c r="B15" s="4" t="s">
        <v>330</v>
      </c>
      <c r="C15" s="5"/>
      <c r="D15" s="5"/>
      <c r="E15" s="5"/>
      <c r="F15" s="13"/>
    </row>
    <row r="16" spans="2:9">
      <c r="B16" s="13"/>
      <c r="C16" s="95"/>
      <c r="D16" s="95" t="s">
        <v>328</v>
      </c>
      <c r="F16" s="13"/>
    </row>
    <row r="17" spans="2:6" ht="16">
      <c r="C17" s="166" t="s">
        <v>327</v>
      </c>
      <c r="D17" s="166" t="s">
        <v>329</v>
      </c>
      <c r="E17" s="166" t="s">
        <v>240</v>
      </c>
    </row>
    <row r="18" spans="2:6">
      <c r="B18" t="s">
        <v>331</v>
      </c>
      <c r="C18" s="229">
        <f>'Simple DCF Done'!H5*'Simple DCF Done'!I61</f>
        <v>1223044.68</v>
      </c>
      <c r="D18" s="167"/>
      <c r="E18" s="3">
        <f>IF(D18,D18,C18/(C18+C19))</f>
        <v>1.0878512288018185</v>
      </c>
    </row>
    <row r="19" spans="2:6">
      <c r="B19" t="s">
        <v>246</v>
      </c>
      <c r="C19" s="229">
        <f>'Simple DCF Done'!C65</f>
        <v>-98769</v>
      </c>
      <c r="D19" s="112">
        <f>1-D18</f>
        <v>1</v>
      </c>
      <c r="E19" s="3">
        <f>1-E18</f>
        <v>-8.7851228801818504E-2</v>
      </c>
    </row>
    <row r="21" spans="2:6">
      <c r="B21" s="126" t="s">
        <v>241</v>
      </c>
      <c r="C21" s="127"/>
      <c r="D21" s="128"/>
      <c r="E21" s="168">
        <f>C8*E19+C13*E18</f>
        <v>7.7864310730353978E-2</v>
      </c>
    </row>
    <row r="22" spans="2:6">
      <c r="B22" s="13"/>
      <c r="C22" s="172"/>
    </row>
    <row r="23" spans="2:6">
      <c r="B23" s="4" t="s">
        <v>249</v>
      </c>
      <c r="C23" s="5"/>
      <c r="D23" s="5"/>
      <c r="E23" s="5"/>
      <c r="F23" s="5"/>
    </row>
    <row r="24" spans="2:6">
      <c r="D24" s="94" t="s">
        <v>237</v>
      </c>
      <c r="E24" s="327"/>
      <c r="F24" s="94"/>
    </row>
    <row r="25" spans="2:6">
      <c r="C25" s="173">
        <f>E21</f>
        <v>7.7864310730353978E-2</v>
      </c>
      <c r="D25" s="174">
        <f>E25-0.1</f>
        <v>0.999</v>
      </c>
      <c r="E25" s="328">
        <v>1.099</v>
      </c>
      <c r="F25" s="175">
        <f>E25+0.1</f>
        <v>1.1990000000000001</v>
      </c>
    </row>
    <row r="26" spans="2:6">
      <c r="C26" s="176">
        <f>C27-0.005</f>
        <v>4.5000000000000005E-2</v>
      </c>
      <c r="D26" s="177">
        <f t="dataTable" ref="D26:F30" dt2D="1" dtr="1" r1="C11" r2="C12"/>
        <v>6.1013495196213796E-2</v>
      </c>
      <c r="E26" s="49">
        <v>6.590882572582199E-2</v>
      </c>
      <c r="F26" s="49">
        <v>7.080415625543017E-2</v>
      </c>
    </row>
    <row r="27" spans="2:6">
      <c r="B27" s="95" t="s">
        <v>250</v>
      </c>
      <c r="C27" s="176">
        <f>C28-0.005</f>
        <v>0.05</v>
      </c>
      <c r="D27" s="49">
        <v>6.6447312084078877E-2</v>
      </c>
      <c r="E27" s="49">
        <v>7.1886568228087977E-2</v>
      </c>
      <c r="F27" s="49">
        <v>7.7325824372097077E-2</v>
      </c>
    </row>
    <row r="28" spans="2:6">
      <c r="B28" s="95" t="s">
        <v>251</v>
      </c>
      <c r="C28" s="178">
        <v>5.5E-2</v>
      </c>
      <c r="D28" s="49">
        <v>7.1881128971943958E-2</v>
      </c>
      <c r="E28" s="49">
        <v>7.7864310730353978E-2</v>
      </c>
      <c r="F28" s="49">
        <v>8.3847492488763983E-2</v>
      </c>
    </row>
    <row r="29" spans="2:6">
      <c r="B29" s="95" t="s">
        <v>252</v>
      </c>
      <c r="C29" s="176">
        <f>C28+0.005</f>
        <v>0.06</v>
      </c>
      <c r="D29" s="49">
        <v>7.7314945859809053E-2</v>
      </c>
      <c r="E29" s="49">
        <v>8.3842053232619965E-2</v>
      </c>
      <c r="F29" s="49">
        <v>9.0369160605430876E-2</v>
      </c>
    </row>
    <row r="30" spans="2:6">
      <c r="C30" s="176">
        <f>C29+0.005</f>
        <v>6.5000000000000002E-2</v>
      </c>
      <c r="D30" s="49">
        <v>8.2748762747674148E-2</v>
      </c>
      <c r="E30" s="49">
        <v>8.9819795734885952E-2</v>
      </c>
      <c r="F30" s="49">
        <v>9.6890828722097783E-2</v>
      </c>
    </row>
    <row r="31" spans="2:6">
      <c r="C31" s="329"/>
      <c r="D31" s="49"/>
      <c r="E31" s="49"/>
      <c r="F31" s="49"/>
    </row>
    <row r="32" spans="2:6">
      <c r="B32" t="s">
        <v>368</v>
      </c>
      <c r="C32" s="239" t="s">
        <v>336</v>
      </c>
    </row>
    <row r="34" spans="2:9">
      <c r="B34" s="17" t="s">
        <v>336</v>
      </c>
      <c r="C34" s="196">
        <v>1.099</v>
      </c>
      <c r="D34" t="s">
        <v>365</v>
      </c>
    </row>
    <row r="35" spans="2:9">
      <c r="B35" s="17" t="s">
        <v>323</v>
      </c>
      <c r="C35" s="133">
        <f>C46</f>
        <v>1.1781380433297848</v>
      </c>
      <c r="D35" t="s">
        <v>337</v>
      </c>
    </row>
    <row r="37" spans="2:9">
      <c r="B37" s="4" t="s">
        <v>323</v>
      </c>
      <c r="C37" s="4"/>
      <c r="D37" s="5"/>
      <c r="E37" s="5"/>
      <c r="F37" s="5"/>
      <c r="G37" s="5"/>
      <c r="H37" s="5"/>
      <c r="I37" s="5"/>
    </row>
    <row r="38" spans="2:9">
      <c r="H38" s="232"/>
    </row>
    <row r="39" spans="2:9" ht="15" thickBot="1">
      <c r="C39" s="169" t="s">
        <v>242</v>
      </c>
      <c r="D39" s="169" t="s">
        <v>243</v>
      </c>
      <c r="E39" s="169" t="s">
        <v>244</v>
      </c>
      <c r="F39" s="169" t="s">
        <v>245</v>
      </c>
      <c r="G39" s="170" t="s">
        <v>324</v>
      </c>
      <c r="H39" s="169" t="s">
        <v>0</v>
      </c>
      <c r="I39" s="169" t="s">
        <v>247</v>
      </c>
    </row>
    <row r="40" spans="2:9">
      <c r="B40" s="115" t="s">
        <v>332</v>
      </c>
      <c r="C40" s="196">
        <v>1.21</v>
      </c>
      <c r="D40" s="171">
        <v>136.96</v>
      </c>
      <c r="E40" s="2">
        <v>7662.8</v>
      </c>
      <c r="F40" s="15">
        <f>D40*E40</f>
        <v>1049497.088</v>
      </c>
      <c r="G40" s="2">
        <f>86343-131536</f>
        <v>-45193</v>
      </c>
      <c r="H40" s="19">
        <v>0.16400000000000001</v>
      </c>
      <c r="I40" s="133">
        <f>C40/(1+(1-H40)*(G40)/F40)</f>
        <v>1.2551860431468624</v>
      </c>
    </row>
    <row r="41" spans="2:9">
      <c r="B41" s="115" t="s">
        <v>333</v>
      </c>
      <c r="C41" s="196">
        <v>0.96</v>
      </c>
      <c r="D41" s="171">
        <v>1116.79</v>
      </c>
      <c r="E41" s="2">
        <v>694.2</v>
      </c>
      <c r="F41" s="15">
        <f>D41*E41</f>
        <v>775275.61800000002</v>
      </c>
      <c r="G41" s="2">
        <f>12272-113488</f>
        <v>-101216</v>
      </c>
      <c r="H41" s="19">
        <v>0.13900000000000001</v>
      </c>
      <c r="I41" s="133">
        <f t="shared" ref="I41:I43" si="0">C41/(1+(1-H41)*(G41)/F41)</f>
        <v>1.0815776990721453</v>
      </c>
    </row>
    <row r="42" spans="2:9">
      <c r="B42" s="115" t="s">
        <v>334</v>
      </c>
      <c r="C42" s="196">
        <v>1.58</v>
      </c>
      <c r="D42" s="171">
        <v>1952.32</v>
      </c>
      <c r="E42" s="2">
        <v>492.3</v>
      </c>
      <c r="F42" s="15">
        <f>D42*E42</f>
        <v>961127.13599999994</v>
      </c>
      <c r="G42" s="2">
        <f>69005-37020</f>
        <v>31985</v>
      </c>
      <c r="H42" s="19">
        <v>0.127</v>
      </c>
      <c r="I42" s="133">
        <f t="shared" si="0"/>
        <v>1.5353933693229584</v>
      </c>
    </row>
    <row r="43" spans="2:9">
      <c r="B43" s="115" t="s">
        <v>335</v>
      </c>
      <c r="C43" s="215">
        <f>C34</f>
        <v>1.099</v>
      </c>
      <c r="D43" s="230"/>
      <c r="E43" s="231"/>
      <c r="F43" s="23">
        <f>C18</f>
        <v>1223044.68</v>
      </c>
      <c r="G43" s="23">
        <f>C19</f>
        <v>-98769</v>
      </c>
      <c r="H43" s="334">
        <f>C7</f>
        <v>0.17299999999999999</v>
      </c>
      <c r="I43" s="133">
        <f t="shared" si="0"/>
        <v>1.1776502625326248</v>
      </c>
    </row>
    <row r="44" spans="2:9">
      <c r="C44" s="133"/>
      <c r="F44" s="15"/>
      <c r="G44" s="15"/>
      <c r="H44" s="15"/>
      <c r="I44" s="3"/>
    </row>
    <row r="45" spans="2:9">
      <c r="B45" t="s">
        <v>248</v>
      </c>
      <c r="C45" s="133">
        <f>AVERAGE(I40:I43)</f>
        <v>1.2624518435186478</v>
      </c>
    </row>
    <row r="46" spans="2:9">
      <c r="B46" s="13" t="str">
        <f>B43&amp;" beta"</f>
        <v>Apple (AAPL) beta</v>
      </c>
      <c r="C46" s="217">
        <f>C45*(1+(1-H43)*(G43)/F43)</f>
        <v>1.1781380433297848</v>
      </c>
    </row>
    <row r="47" spans="2:9">
      <c r="C47" s="100"/>
    </row>
  </sheetData>
  <dataValidations count="1">
    <dataValidation type="list" allowBlank="1" showInputMessage="1" showErrorMessage="1" sqref="C32" xr:uid="{566E0238-4883-4966-A6B2-05B6228EDEC4}">
      <formula1>"Industry, Observed"</formula1>
    </dataValidation>
  </dataValidations>
  <pageMargins left="0.7" right="0.7" top="0.75" bottom="0.75" header="0.3" footer="0.3"/>
  <pageSetup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BC4BCE-9DDB-4193-938C-548C2B302D02}">
  <sheetPr>
    <tabColor theme="5"/>
  </sheetPr>
  <dimension ref="B1:G41"/>
  <sheetViews>
    <sheetView topLeftCell="A3" zoomScaleNormal="100" workbookViewId="0">
      <selection activeCell="F38" sqref="F38"/>
    </sheetView>
  </sheetViews>
  <sheetFormatPr defaultColWidth="8.81640625" defaultRowHeight="14.5"/>
  <cols>
    <col min="1" max="1" width="1.453125" customWidth="1"/>
    <col min="2" max="2" width="60.453125" bestFit="1" customWidth="1"/>
    <col min="3" max="3" width="11.453125" bestFit="1" customWidth="1"/>
    <col min="4" max="4" width="10.453125" bestFit="1" customWidth="1"/>
    <col min="5" max="5" width="11.08984375" customWidth="1"/>
    <col min="6" max="6" width="10" bestFit="1" customWidth="1"/>
    <col min="7" max="7" width="11.08984375" bestFit="1" customWidth="1"/>
  </cols>
  <sheetData>
    <row r="1" spans="2:5" ht="15" thickBot="1"/>
    <row r="2" spans="2:5" ht="15" thickBot="1">
      <c r="B2" s="52" t="s">
        <v>352</v>
      </c>
      <c r="C2" s="41"/>
      <c r="D2" s="41"/>
      <c r="E2" s="41"/>
    </row>
    <row r="3" spans="2:5">
      <c r="B3" s="337" t="str">
        <f>'Financials '!$B$3</f>
        <v xml:space="preserve">$ and shares in millions, except per share data </v>
      </c>
    </row>
    <row r="4" spans="2:5">
      <c r="B4" t="s">
        <v>351</v>
      </c>
      <c r="E4" s="289">
        <f>'Simple DCF Empty'!H5</f>
        <v>273.52</v>
      </c>
    </row>
    <row r="6" spans="2:5">
      <c r="B6" s="13" t="s">
        <v>289</v>
      </c>
    </row>
    <row r="7" spans="2:5">
      <c r="B7" s="56"/>
      <c r="C7" s="236" t="s">
        <v>361</v>
      </c>
      <c r="D7" s="236" t="s">
        <v>279</v>
      </c>
      <c r="E7" s="236" t="s">
        <v>287</v>
      </c>
    </row>
    <row r="8" spans="2:5" ht="16">
      <c r="C8" s="235" t="s">
        <v>277</v>
      </c>
      <c r="D8" s="235" t="s">
        <v>278</v>
      </c>
      <c r="E8" s="235" t="s">
        <v>277</v>
      </c>
    </row>
    <row r="9" spans="2:5">
      <c r="B9" t="s">
        <v>280</v>
      </c>
      <c r="C9" s="196">
        <v>10</v>
      </c>
      <c r="D9" s="286">
        <v>67.45</v>
      </c>
      <c r="E9" s="294">
        <f>IF(D9&lt;=$E$4,C9,0)</f>
        <v>10</v>
      </c>
    </row>
    <row r="10" spans="2:5">
      <c r="B10" t="s">
        <v>281</v>
      </c>
      <c r="C10" s="196">
        <v>50</v>
      </c>
      <c r="D10" s="286">
        <v>112.63</v>
      </c>
      <c r="E10" s="294">
        <f t="shared" ref="E10:E15" si="0">IF(D10&lt;=$E$4,C10,0)</f>
        <v>50</v>
      </c>
    </row>
    <row r="11" spans="2:5">
      <c r="B11" t="s">
        <v>282</v>
      </c>
      <c r="C11" s="196">
        <v>10</v>
      </c>
      <c r="D11" s="286">
        <v>146.29</v>
      </c>
      <c r="E11" s="294">
        <f t="shared" si="0"/>
        <v>10</v>
      </c>
    </row>
    <row r="12" spans="2:5">
      <c r="B12" t="s">
        <v>283</v>
      </c>
      <c r="C12" s="196">
        <v>42</v>
      </c>
      <c r="D12" s="286">
        <v>218.91</v>
      </c>
      <c r="E12" s="294">
        <f t="shared" si="0"/>
        <v>42</v>
      </c>
    </row>
    <row r="13" spans="2:5">
      <c r="B13" t="s">
        <v>284</v>
      </c>
      <c r="C13" s="196">
        <v>20</v>
      </c>
      <c r="D13" s="286">
        <v>265.13</v>
      </c>
      <c r="E13" s="294">
        <f t="shared" si="0"/>
        <v>20</v>
      </c>
    </row>
    <row r="14" spans="2:5">
      <c r="B14" t="s">
        <v>285</v>
      </c>
      <c r="C14" s="196">
        <v>28</v>
      </c>
      <c r="D14" s="286">
        <v>302.61</v>
      </c>
      <c r="E14" s="294">
        <f t="shared" si="0"/>
        <v>0</v>
      </c>
    </row>
    <row r="15" spans="2:5" ht="16">
      <c r="B15" t="s">
        <v>286</v>
      </c>
      <c r="C15" s="216">
        <v>45</v>
      </c>
      <c r="D15" s="286">
        <v>309.74</v>
      </c>
      <c r="E15" s="294">
        <f t="shared" si="0"/>
        <v>0</v>
      </c>
    </row>
    <row r="16" spans="2:5">
      <c r="B16" t="s">
        <v>290</v>
      </c>
      <c r="C16" s="215">
        <f>SUM(C9:C15)</f>
        <v>205</v>
      </c>
      <c r="D16" s="215"/>
      <c r="E16" s="294">
        <f>SUM(E9:E15)</f>
        <v>132</v>
      </c>
    </row>
    <row r="17" spans="2:7">
      <c r="C17" s="196"/>
      <c r="D17" s="197"/>
      <c r="E17" s="133"/>
    </row>
    <row r="18" spans="2:7">
      <c r="B18" s="26" t="s">
        <v>213</v>
      </c>
      <c r="C18" s="15"/>
      <c r="E18" s="294">
        <f>SUMPRODUCT(D9:D15,E9:E15)</f>
        <v>22265.72</v>
      </c>
    </row>
    <row r="19" spans="2:7" ht="16">
      <c r="B19" s="26" t="s">
        <v>214</v>
      </c>
      <c r="E19" s="293">
        <f>-(E18/E4)</f>
        <v>-81.404357999415041</v>
      </c>
    </row>
    <row r="20" spans="2:7">
      <c r="B20" s="13" t="s">
        <v>288</v>
      </c>
      <c r="C20" s="13"/>
      <c r="D20" s="13"/>
      <c r="E20" s="296">
        <f>E16+E19</f>
        <v>50.595642000584959</v>
      </c>
    </row>
    <row r="21" spans="2:7">
      <c r="B21" s="13"/>
      <c r="C21" s="13"/>
      <c r="D21" s="13"/>
      <c r="E21" s="217"/>
    </row>
    <row r="22" spans="2:7">
      <c r="B22" s="92" t="s">
        <v>358</v>
      </c>
      <c r="C22" s="92"/>
      <c r="D22" s="56"/>
      <c r="E22" s="221"/>
    </row>
    <row r="23" spans="2:7">
      <c r="E23" s="13"/>
    </row>
    <row r="24" spans="2:7">
      <c r="B24" s="25" t="s">
        <v>355</v>
      </c>
    </row>
    <row r="25" spans="2:7">
      <c r="B25" t="s">
        <v>353</v>
      </c>
      <c r="E25" s="101">
        <v>14543</v>
      </c>
    </row>
    <row r="26" spans="2:7">
      <c r="B26" t="s">
        <v>362</v>
      </c>
      <c r="E26" s="291">
        <v>4</v>
      </c>
    </row>
    <row r="27" spans="2:7" ht="15" customHeight="1">
      <c r="B27" t="s">
        <v>296</v>
      </c>
      <c r="E27" s="301">
        <f>E25/E28</f>
        <v>250</v>
      </c>
    </row>
    <row r="28" spans="2:7" ht="15" customHeight="1">
      <c r="B28" t="s">
        <v>303</v>
      </c>
      <c r="E28" s="297">
        <f>E26*E25/1000</f>
        <v>58.171999999999997</v>
      </c>
      <c r="G28" s="288"/>
    </row>
    <row r="30" spans="2:7">
      <c r="B30" t="s">
        <v>304</v>
      </c>
      <c r="C30" s="13"/>
      <c r="E30" s="296">
        <f>IF(E27&lt;E4,E28,0)</f>
        <v>58.171999999999997</v>
      </c>
    </row>
    <row r="31" spans="2:7">
      <c r="B31" s="10" t="s">
        <v>360</v>
      </c>
      <c r="C31" s="10"/>
      <c r="E31" s="299">
        <f>IF(E30&gt;0,-E25,0)</f>
        <v>-14543</v>
      </c>
    </row>
    <row r="33" spans="2:7">
      <c r="B33" s="25" t="s">
        <v>356</v>
      </c>
    </row>
    <row r="34" spans="2:7">
      <c r="B34" t="s">
        <v>359</v>
      </c>
      <c r="E34" s="101">
        <v>34654</v>
      </c>
    </row>
    <row r="35" spans="2:7">
      <c r="B35" t="s">
        <v>357</v>
      </c>
      <c r="E35" s="292">
        <v>45.5</v>
      </c>
    </row>
    <row r="36" spans="2:7">
      <c r="B36" t="s">
        <v>354</v>
      </c>
      <c r="E36" s="291">
        <v>4.3</v>
      </c>
    </row>
    <row r="37" spans="2:7">
      <c r="B37" t="s">
        <v>303</v>
      </c>
      <c r="E37" s="294">
        <f>E35*E36</f>
        <v>195.65</v>
      </c>
      <c r="G37" s="288"/>
    </row>
    <row r="38" spans="2:7">
      <c r="B38" t="s">
        <v>296</v>
      </c>
      <c r="E38" s="290">
        <f>E34/E37</f>
        <v>177.12241247124967</v>
      </c>
    </row>
    <row r="39" spans="2:7">
      <c r="E39" s="287"/>
    </row>
    <row r="40" spans="2:7">
      <c r="B40" s="13" t="s">
        <v>304</v>
      </c>
      <c r="C40" s="13"/>
      <c r="E40" s="296">
        <f>IF(E38&lt;E4,E37,0)</f>
        <v>195.65</v>
      </c>
    </row>
    <row r="41" spans="2:7">
      <c r="B41" s="10" t="s">
        <v>360</v>
      </c>
      <c r="E41" s="103">
        <f>IF(E40&gt;0,-E34,0)</f>
        <v>-34654</v>
      </c>
    </row>
  </sheetData>
  <pageMargins left="0.7" right="0.7" top="0.75" bottom="0.75" header="0.3" footer="0.3"/>
  <pageSetup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3C3313-B01F-46E7-BC62-53D2D1B38A49}">
  <sheetPr>
    <tabColor theme="5"/>
  </sheetPr>
  <dimension ref="B1:G41"/>
  <sheetViews>
    <sheetView topLeftCell="A22" zoomScaleNormal="100" workbookViewId="0">
      <selection activeCell="E4" sqref="E4"/>
    </sheetView>
  </sheetViews>
  <sheetFormatPr defaultColWidth="8.81640625" defaultRowHeight="14.5"/>
  <cols>
    <col min="1" max="1" width="1.453125" customWidth="1"/>
    <col min="2" max="2" width="60.453125" bestFit="1" customWidth="1"/>
    <col min="3" max="3" width="11.453125" bestFit="1" customWidth="1"/>
    <col min="4" max="4" width="10.453125" bestFit="1" customWidth="1"/>
    <col min="5" max="5" width="11.08984375" customWidth="1"/>
    <col min="6" max="6" width="10" bestFit="1" customWidth="1"/>
    <col min="7" max="7" width="11.08984375" bestFit="1" customWidth="1"/>
  </cols>
  <sheetData>
    <row r="1" spans="2:5" ht="15" thickBot="1"/>
    <row r="2" spans="2:5" ht="15" thickBot="1">
      <c r="B2" s="52" t="s">
        <v>352</v>
      </c>
      <c r="C2" s="41"/>
      <c r="D2" s="41"/>
      <c r="E2" s="41"/>
    </row>
    <row r="3" spans="2:5">
      <c r="B3" s="337" t="str">
        <f>'Financials '!$B$3</f>
        <v xml:space="preserve">$ and shares in millions, except per share data </v>
      </c>
    </row>
    <row r="4" spans="2:5">
      <c r="B4" t="s">
        <v>351</v>
      </c>
      <c r="E4" s="289">
        <f>'Simple DCF Done'!H5</f>
        <v>273.52</v>
      </c>
    </row>
    <row r="6" spans="2:5">
      <c r="B6" s="13" t="s">
        <v>289</v>
      </c>
    </row>
    <row r="7" spans="2:5">
      <c r="B7" s="56"/>
      <c r="C7" s="236" t="s">
        <v>361</v>
      </c>
      <c r="D7" s="236" t="s">
        <v>279</v>
      </c>
      <c r="E7" s="236" t="s">
        <v>287</v>
      </c>
    </row>
    <row r="8" spans="2:5" ht="16">
      <c r="C8" s="235" t="s">
        <v>277</v>
      </c>
      <c r="D8" s="235" t="s">
        <v>278</v>
      </c>
      <c r="E8" s="235" t="s">
        <v>277</v>
      </c>
    </row>
    <row r="9" spans="2:5">
      <c r="B9" t="s">
        <v>280</v>
      </c>
      <c r="C9" s="196">
        <v>10</v>
      </c>
      <c r="D9" s="286">
        <v>67.45</v>
      </c>
      <c r="E9" s="215">
        <f>IF(D9&lt;=$E$4,C9,0)</f>
        <v>10</v>
      </c>
    </row>
    <row r="10" spans="2:5">
      <c r="B10" t="s">
        <v>281</v>
      </c>
      <c r="C10" s="196">
        <v>50</v>
      </c>
      <c r="D10" s="286">
        <v>112.63</v>
      </c>
      <c r="E10" s="215">
        <f t="shared" ref="E10:E15" si="0">IF(D10&lt;=$E$4,C10,0)</f>
        <v>50</v>
      </c>
    </row>
    <row r="11" spans="2:5">
      <c r="B11" t="s">
        <v>282</v>
      </c>
      <c r="C11" s="196">
        <v>10</v>
      </c>
      <c r="D11" s="286">
        <v>146.29</v>
      </c>
      <c r="E11" s="215">
        <f t="shared" si="0"/>
        <v>10</v>
      </c>
    </row>
    <row r="12" spans="2:5">
      <c r="B12" t="s">
        <v>283</v>
      </c>
      <c r="C12" s="196">
        <v>42</v>
      </c>
      <c r="D12" s="286">
        <v>218.91</v>
      </c>
      <c r="E12" s="215">
        <f t="shared" si="0"/>
        <v>42</v>
      </c>
    </row>
    <row r="13" spans="2:5">
      <c r="B13" t="s">
        <v>284</v>
      </c>
      <c r="C13" s="196">
        <v>20</v>
      </c>
      <c r="D13" s="286">
        <v>265.13</v>
      </c>
      <c r="E13" s="215">
        <f t="shared" si="0"/>
        <v>20</v>
      </c>
    </row>
    <row r="14" spans="2:5">
      <c r="B14" t="s">
        <v>285</v>
      </c>
      <c r="C14" s="196">
        <v>28</v>
      </c>
      <c r="D14" s="286">
        <v>302.61</v>
      </c>
      <c r="E14" s="215">
        <f t="shared" si="0"/>
        <v>0</v>
      </c>
    </row>
    <row r="15" spans="2:5" ht="16">
      <c r="B15" t="s">
        <v>286</v>
      </c>
      <c r="C15" s="216">
        <v>45</v>
      </c>
      <c r="D15" s="286">
        <v>309.74</v>
      </c>
      <c r="E15" s="215">
        <f t="shared" si="0"/>
        <v>0</v>
      </c>
    </row>
    <row r="16" spans="2:5">
      <c r="B16" t="s">
        <v>290</v>
      </c>
      <c r="C16" s="215">
        <f>SUM(C9:C15)</f>
        <v>205</v>
      </c>
      <c r="D16" s="215"/>
      <c r="E16" s="215">
        <f>SUM(E9:E15)</f>
        <v>132</v>
      </c>
    </row>
    <row r="17" spans="2:7">
      <c r="C17" s="196"/>
      <c r="D17" s="197"/>
      <c r="E17" s="133"/>
    </row>
    <row r="18" spans="2:7">
      <c r="B18" s="26" t="s">
        <v>213</v>
      </c>
      <c r="C18" s="15"/>
      <c r="E18" s="215">
        <f>SUMPRODUCT(D9:D15,E9:E15)</f>
        <v>22265.72</v>
      </c>
    </row>
    <row r="19" spans="2:7" ht="16">
      <c r="B19" s="26" t="s">
        <v>214</v>
      </c>
      <c r="E19" s="305">
        <f>-(E18/E4)</f>
        <v>-81.404357999415041</v>
      </c>
    </row>
    <row r="20" spans="2:7">
      <c r="B20" s="13" t="s">
        <v>288</v>
      </c>
      <c r="C20" s="13"/>
      <c r="D20" s="13"/>
      <c r="E20" s="295">
        <f>E16+E19</f>
        <v>50.595642000584959</v>
      </c>
    </row>
    <row r="21" spans="2:7">
      <c r="B21" s="13"/>
      <c r="C21" s="13"/>
      <c r="D21" s="13"/>
      <c r="E21" s="217"/>
    </row>
    <row r="22" spans="2:7">
      <c r="B22" s="92" t="s">
        <v>358</v>
      </c>
      <c r="C22" s="92"/>
      <c r="D22" s="56"/>
      <c r="E22" s="221"/>
    </row>
    <row r="23" spans="2:7">
      <c r="E23" s="13"/>
    </row>
    <row r="24" spans="2:7">
      <c r="B24" s="25" t="s">
        <v>355</v>
      </c>
    </row>
    <row r="25" spans="2:7">
      <c r="B25" t="s">
        <v>353</v>
      </c>
      <c r="E25" s="2">
        <v>14543</v>
      </c>
    </row>
    <row r="26" spans="2:7">
      <c r="B26" t="s">
        <v>362</v>
      </c>
      <c r="E26" s="171">
        <v>4</v>
      </c>
    </row>
    <row r="27" spans="2:7" ht="15" customHeight="1">
      <c r="B27" t="s">
        <v>296</v>
      </c>
      <c r="E27" s="306">
        <f>E25/E28</f>
        <v>250</v>
      </c>
    </row>
    <row r="28" spans="2:7" ht="15" customHeight="1">
      <c r="B28" t="s">
        <v>303</v>
      </c>
      <c r="E28" s="98">
        <f>E26*E25/1000</f>
        <v>58.171999999999997</v>
      </c>
      <c r="G28" s="288"/>
    </row>
    <row r="30" spans="2:7">
      <c r="B30" t="s">
        <v>304</v>
      </c>
      <c r="C30" s="13"/>
      <c r="E30" s="295">
        <f>IF(E27&lt;E4,E28,0)</f>
        <v>58.171999999999997</v>
      </c>
    </row>
    <row r="31" spans="2:7">
      <c r="B31" s="10" t="s">
        <v>360</v>
      </c>
      <c r="C31" s="10"/>
      <c r="E31" s="298">
        <f>IF(E30&gt;0,-E25,0)</f>
        <v>-14543</v>
      </c>
    </row>
    <row r="33" spans="2:7">
      <c r="B33" s="25" t="s">
        <v>356</v>
      </c>
    </row>
    <row r="34" spans="2:7">
      <c r="B34" t="s">
        <v>359</v>
      </c>
      <c r="E34" s="2">
        <v>34654</v>
      </c>
    </row>
    <row r="35" spans="2:7">
      <c r="B35" t="s">
        <v>357</v>
      </c>
      <c r="E35" s="196">
        <v>45.5</v>
      </c>
    </row>
    <row r="36" spans="2:7">
      <c r="B36" t="s">
        <v>354</v>
      </c>
      <c r="E36" s="171">
        <v>4.3</v>
      </c>
    </row>
    <row r="37" spans="2:7">
      <c r="B37" t="s">
        <v>303</v>
      </c>
      <c r="E37" s="215">
        <f>E35*E36</f>
        <v>195.65</v>
      </c>
      <c r="G37" s="288"/>
    </row>
    <row r="38" spans="2:7">
      <c r="B38" t="s">
        <v>296</v>
      </c>
      <c r="E38" s="287">
        <f>E34/E37</f>
        <v>177.12241247124967</v>
      </c>
    </row>
    <row r="39" spans="2:7">
      <c r="E39" s="287"/>
    </row>
    <row r="40" spans="2:7">
      <c r="B40" s="13" t="s">
        <v>304</v>
      </c>
      <c r="C40" s="13"/>
      <c r="E40" s="295">
        <f>IF(E38&lt;E4,E37,0)</f>
        <v>195.65</v>
      </c>
    </row>
    <row r="41" spans="2:7">
      <c r="B41" s="10" t="s">
        <v>360</v>
      </c>
      <c r="E41" s="23">
        <f>IF(E40&gt;0,-E34,0)</f>
        <v>-34654</v>
      </c>
    </row>
  </sheetData>
  <pageMargins left="0.7" right="0.7" top="0.75" bottom="0.75" header="0.3" footer="0.3"/>
  <pageSetup orientation="portrait"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46DAC1-91F3-409F-B62B-01CF00DA2D8B}">
  <sheetPr>
    <tabColor theme="6"/>
  </sheetPr>
  <dimension ref="B1:Q126"/>
  <sheetViews>
    <sheetView zoomScaleNormal="100" workbookViewId="0"/>
  </sheetViews>
  <sheetFormatPr defaultColWidth="9.08984375" defaultRowHeight="14.5"/>
  <cols>
    <col min="1" max="1" width="1.453125" customWidth="1"/>
    <col min="2" max="2" width="54.453125" customWidth="1"/>
    <col min="3" max="3" width="13.453125" customWidth="1"/>
    <col min="4" max="9" width="12.6328125" customWidth="1"/>
    <col min="10" max="10" width="1.81640625" customWidth="1"/>
    <col min="11" max="11" width="12.08984375" bestFit="1" customWidth="1"/>
    <col min="12" max="16" width="9.453125" customWidth="1"/>
  </cols>
  <sheetData>
    <row r="1" spans="2:11" ht="15" thickBot="1"/>
    <row r="2" spans="2:11" ht="15" thickBot="1">
      <c r="B2" s="52" t="s">
        <v>316</v>
      </c>
      <c r="C2" s="41"/>
      <c r="D2" s="41"/>
      <c r="E2" s="41"/>
      <c r="F2" s="41"/>
      <c r="G2" s="41"/>
      <c r="H2" s="41"/>
      <c r="I2" s="41"/>
    </row>
    <row r="3" spans="2:11">
      <c r="B3" s="337" t="str">
        <f>'Financials '!$B$3</f>
        <v xml:space="preserve">$ and shares in millions, except per share data </v>
      </c>
    </row>
    <row r="4" spans="2:11" ht="15" customHeight="1">
      <c r="B4" t="s">
        <v>318</v>
      </c>
      <c r="D4" s="317">
        <v>43736</v>
      </c>
      <c r="F4" t="s">
        <v>198</v>
      </c>
      <c r="H4" s="93">
        <f>'WACC Done'!E21</f>
        <v>7.7864310730353978E-2</v>
      </c>
    </row>
    <row r="5" spans="2:11">
      <c r="B5" t="s">
        <v>319</v>
      </c>
      <c r="D5" s="132">
        <f>EOMONTH(D4,12)</f>
        <v>44104</v>
      </c>
      <c r="F5" t="s">
        <v>317</v>
      </c>
      <c r="H5" s="119">
        <v>273.52</v>
      </c>
    </row>
    <row r="6" spans="2:11">
      <c r="B6" t="s">
        <v>320</v>
      </c>
      <c r="D6" s="317">
        <v>43827</v>
      </c>
      <c r="F6" t="s">
        <v>342</v>
      </c>
      <c r="H6" s="218">
        <v>43888</v>
      </c>
      <c r="J6" s="193"/>
    </row>
    <row r="7" spans="2:11">
      <c r="B7" t="s">
        <v>321</v>
      </c>
      <c r="D7" s="317">
        <v>43889</v>
      </c>
      <c r="F7" t="s">
        <v>350</v>
      </c>
      <c r="H7" s="316">
        <v>0</v>
      </c>
      <c r="I7" s="193"/>
      <c r="J7" s="193"/>
    </row>
    <row r="8" spans="2:11">
      <c r="B8" t="s">
        <v>343</v>
      </c>
      <c r="D8" s="91">
        <f>YEARFRAC(D7,D5)</f>
        <v>0.58888888888888891</v>
      </c>
    </row>
    <row r="9" spans="2:11">
      <c r="D9" s="120"/>
    </row>
    <row r="10" spans="2:11">
      <c r="B10" s="92" t="s">
        <v>265</v>
      </c>
      <c r="C10" s="56"/>
      <c r="D10" s="234"/>
      <c r="F10" s="56"/>
      <c r="G10" s="56"/>
      <c r="H10" s="56"/>
      <c r="I10" s="56"/>
    </row>
    <row r="11" spans="2:11" ht="17.25" customHeight="1">
      <c r="C11" s="139"/>
      <c r="D11" s="139" t="s">
        <v>263</v>
      </c>
      <c r="E11" s="246" t="s">
        <v>264</v>
      </c>
      <c r="F11" s="139"/>
      <c r="G11" s="139"/>
      <c r="H11" s="139"/>
      <c r="I11" s="139"/>
    </row>
    <row r="12" spans="2:11">
      <c r="B12" s="10" t="s">
        <v>338</v>
      </c>
      <c r="C12" s="222"/>
      <c r="D12" s="190">
        <f>D4</f>
        <v>43736</v>
      </c>
      <c r="E12" s="318">
        <f>EOMONTH(D12,12)</f>
        <v>44104</v>
      </c>
      <c r="F12" s="318">
        <f t="shared" ref="F12:I12" si="0">EOMONTH(E12,12)</f>
        <v>44469</v>
      </c>
      <c r="G12" s="318">
        <f t="shared" si="0"/>
        <v>44834</v>
      </c>
      <c r="H12" s="318">
        <f t="shared" si="0"/>
        <v>45199</v>
      </c>
      <c r="I12" s="318">
        <f t="shared" si="0"/>
        <v>45565</v>
      </c>
    </row>
    <row r="13" spans="2:11">
      <c r="B13" s="10"/>
      <c r="D13" s="180"/>
      <c r="E13" s="179"/>
      <c r="F13" s="179"/>
      <c r="G13" s="179"/>
      <c r="H13" s="179"/>
      <c r="I13" s="179"/>
    </row>
    <row r="14" spans="2:11">
      <c r="B14" t="s">
        <v>11</v>
      </c>
      <c r="C14" s="125"/>
      <c r="D14" s="319">
        <v>260174</v>
      </c>
      <c r="E14" s="125">
        <f>D14*(1+E15)</f>
        <v>280987.92000000004</v>
      </c>
      <c r="F14" s="125">
        <f t="shared" ref="F14:I14" si="1">E14*(1+F15)</f>
        <v>306276.83280000009</v>
      </c>
      <c r="G14" s="125">
        <f t="shared" si="1"/>
        <v>324653.44276800012</v>
      </c>
      <c r="H14" s="125">
        <f t="shared" si="1"/>
        <v>344132.64933408017</v>
      </c>
      <c r="I14" s="125">
        <f t="shared" si="1"/>
        <v>364780.60829412501</v>
      </c>
    </row>
    <row r="15" spans="2:11">
      <c r="B15" s="17" t="s">
        <v>154</v>
      </c>
      <c r="D15" s="182"/>
      <c r="E15" s="102">
        <v>0.08</v>
      </c>
      <c r="F15" s="102">
        <v>0.09</v>
      </c>
      <c r="G15" s="102">
        <v>0.06</v>
      </c>
      <c r="H15" s="102">
        <v>0.06</v>
      </c>
      <c r="I15" s="102">
        <v>0.06</v>
      </c>
      <c r="K15" s="102"/>
    </row>
    <row r="16" spans="2:11">
      <c r="B16" t="s">
        <v>45</v>
      </c>
      <c r="C16" s="125"/>
      <c r="D16" s="184">
        <f>D18+D25</f>
        <v>76477</v>
      </c>
      <c r="E16" s="125">
        <f>E17*E14</f>
        <v>81486.496800000008</v>
      </c>
      <c r="F16" s="125">
        <f t="shared" ref="F16:I16" si="2">F17*F14</f>
        <v>88820.281512000016</v>
      </c>
      <c r="G16" s="125">
        <f t="shared" si="2"/>
        <v>92526.231188880032</v>
      </c>
      <c r="H16" s="125">
        <f t="shared" si="2"/>
        <v>98077.805060212835</v>
      </c>
      <c r="I16" s="125">
        <f t="shared" si="2"/>
        <v>102138.57032235501</v>
      </c>
    </row>
    <row r="17" spans="2:13">
      <c r="B17" s="17" t="s">
        <v>253</v>
      </c>
      <c r="D17" s="183">
        <f>D16/D14</f>
        <v>0.29394559025882677</v>
      </c>
      <c r="E17" s="102">
        <v>0.28999999999999998</v>
      </c>
      <c r="F17" s="102">
        <v>0.28999999999999998</v>
      </c>
      <c r="G17" s="102">
        <v>0.28499999999999998</v>
      </c>
      <c r="H17" s="102">
        <v>0.28499999999999998</v>
      </c>
      <c r="I17" s="102">
        <v>0.28000000000000003</v>
      </c>
    </row>
    <row r="18" spans="2:13">
      <c r="B18" t="s">
        <v>201</v>
      </c>
      <c r="D18" s="319">
        <v>63930</v>
      </c>
      <c r="E18" s="125">
        <f>E19*E14</f>
        <v>69123.028320000012</v>
      </c>
      <c r="F18" s="125">
        <f t="shared" ref="F18:I18" si="3">F19*F14</f>
        <v>76569.208200000023</v>
      </c>
      <c r="G18" s="125">
        <f t="shared" si="3"/>
        <v>81163.360692000031</v>
      </c>
      <c r="H18" s="125">
        <f t="shared" si="3"/>
        <v>87753.825580190445</v>
      </c>
      <c r="I18" s="125">
        <f t="shared" si="3"/>
        <v>91195.152073531252</v>
      </c>
    </row>
    <row r="19" spans="2:13">
      <c r="B19" s="17" t="s">
        <v>253</v>
      </c>
      <c r="D19" s="183">
        <f>D18/D14</f>
        <v>0.24572017188496928</v>
      </c>
      <c r="E19" s="102">
        <v>0.246</v>
      </c>
      <c r="F19" s="102">
        <v>0.25</v>
      </c>
      <c r="G19" s="102">
        <v>0.25</v>
      </c>
      <c r="H19" s="102">
        <v>0.255</v>
      </c>
      <c r="I19" s="102">
        <v>0.25</v>
      </c>
    </row>
    <row r="20" spans="2:13">
      <c r="B20" s="17"/>
      <c r="D20" s="181"/>
      <c r="E20" s="105"/>
      <c r="F20" s="105"/>
      <c r="G20" s="105"/>
      <c r="H20" s="105"/>
      <c r="I20" s="105"/>
    </row>
    <row r="21" spans="2:13" ht="15" customHeight="1">
      <c r="B21" t="s">
        <v>341</v>
      </c>
      <c r="C21" s="125"/>
      <c r="D21" s="184">
        <f>D22*D18</f>
        <v>10164.870000000001</v>
      </c>
      <c r="E21" s="125">
        <f>E22*E18</f>
        <v>10921.438474560002</v>
      </c>
      <c r="F21" s="125">
        <f t="shared" ref="F21:I21" si="4">F22*F18</f>
        <v>12710.488561200005</v>
      </c>
      <c r="G21" s="125">
        <f t="shared" si="4"/>
        <v>13554.281235564005</v>
      </c>
      <c r="H21" s="125">
        <f t="shared" si="4"/>
        <v>15181.411825372947</v>
      </c>
      <c r="I21" s="125">
        <f t="shared" si="4"/>
        <v>15776.761308720905</v>
      </c>
    </row>
    <row r="22" spans="2:13" ht="15" customHeight="1">
      <c r="B22" s="17" t="s">
        <v>0</v>
      </c>
      <c r="D22" s="320">
        <v>0.159</v>
      </c>
      <c r="E22" s="320">
        <v>0.158</v>
      </c>
      <c r="F22" s="19">
        <v>0.16600000000000001</v>
      </c>
      <c r="G22" s="19">
        <v>0.16700000000000001</v>
      </c>
      <c r="H22" s="19">
        <v>0.17299999999999999</v>
      </c>
      <c r="I22" s="19">
        <v>0.17299999999999999</v>
      </c>
    </row>
    <row r="23" spans="2:13" ht="15" customHeight="1">
      <c r="B23" s="13" t="s">
        <v>276</v>
      </c>
      <c r="C23" s="13"/>
      <c r="D23" s="321">
        <f>D18-D21</f>
        <v>53765.13</v>
      </c>
      <c r="E23" s="321">
        <f t="shared" ref="E23:I23" si="5">E18-E21</f>
        <v>58201.589845440009</v>
      </c>
      <c r="F23" s="124">
        <f t="shared" si="5"/>
        <v>63858.719638800016</v>
      </c>
      <c r="G23" s="124">
        <f t="shared" si="5"/>
        <v>67609.079456436026</v>
      </c>
      <c r="H23" s="124">
        <f t="shared" si="5"/>
        <v>72572.413754817506</v>
      </c>
      <c r="I23" s="124">
        <f t="shared" si="5"/>
        <v>75418.390764810349</v>
      </c>
    </row>
    <row r="24" spans="2:13">
      <c r="D24" s="184"/>
      <c r="E24" s="125"/>
      <c r="F24" s="125"/>
      <c r="G24" s="125"/>
      <c r="H24" s="125"/>
      <c r="I24" s="125"/>
    </row>
    <row r="25" spans="2:13" ht="15" customHeight="1">
      <c r="B25" t="s">
        <v>47</v>
      </c>
      <c r="D25" s="319">
        <v>12547</v>
      </c>
      <c r="E25" s="125">
        <f>E16-E18</f>
        <v>12363.468479999996</v>
      </c>
      <c r="F25" s="125">
        <f t="shared" ref="F25:I25" si="6">F16-F18</f>
        <v>12251.073311999993</v>
      </c>
      <c r="G25" s="125">
        <f t="shared" si="6"/>
        <v>11362.870496880001</v>
      </c>
      <c r="H25" s="125">
        <f t="shared" si="6"/>
        <v>10323.97948002239</v>
      </c>
      <c r="I25" s="125">
        <f t="shared" si="6"/>
        <v>10943.418248823757</v>
      </c>
      <c r="M25" s="49"/>
    </row>
    <row r="26" spans="2:13" ht="15" customHeight="1">
      <c r="B26" t="s">
        <v>202</v>
      </c>
      <c r="D26" s="322">
        <f t="shared" ref="D26:I26" si="7">C32-D32</f>
        <v>-2927</v>
      </c>
      <c r="E26" s="322">
        <f t="shared" si="7"/>
        <v>2177.2800000000061</v>
      </c>
      <c r="F26" s="125">
        <f t="shared" si="7"/>
        <v>2645.3952000000063</v>
      </c>
      <c r="G26" s="125">
        <f t="shared" si="7"/>
        <v>1922.3205120000057</v>
      </c>
      <c r="H26" s="125">
        <f t="shared" si="7"/>
        <v>2037.6597427200031</v>
      </c>
      <c r="I26" s="125">
        <f t="shared" si="7"/>
        <v>2159.9193272832053</v>
      </c>
      <c r="M26" s="96"/>
    </row>
    <row r="27" spans="2:13" ht="15" customHeight="1">
      <c r="B27" t="s">
        <v>34</v>
      </c>
      <c r="D27" s="319">
        <v>-10495</v>
      </c>
      <c r="E27" s="23">
        <f>-(E28*E14)</f>
        <v>-11334.6</v>
      </c>
      <c r="F27" s="23">
        <f>-(F28*F14)</f>
        <v>-11944.796479200004</v>
      </c>
      <c r="G27" s="23">
        <f>-(G28*G14)</f>
        <v>-12336.830825184004</v>
      </c>
      <c r="H27" s="23">
        <f>-(H28*H14)</f>
        <v>-12732.908025360966</v>
      </c>
      <c r="I27" s="23">
        <f>-(I28*I14)</f>
        <v>-13132.101898588498</v>
      </c>
      <c r="M27" s="96"/>
    </row>
    <row r="28" spans="2:13" ht="15" customHeight="1">
      <c r="B28" s="17" t="s">
        <v>126</v>
      </c>
      <c r="D28" s="323">
        <f>-(D27/D14)</f>
        <v>4.033838892433525E-2</v>
      </c>
      <c r="E28" s="102">
        <f>D28</f>
        <v>4.033838892433525E-2</v>
      </c>
      <c r="F28" s="102">
        <v>3.9E-2</v>
      </c>
      <c r="G28" s="102">
        <v>3.7999999999999999E-2</v>
      </c>
      <c r="H28" s="102">
        <v>3.6999999999999998E-2</v>
      </c>
      <c r="I28" s="102">
        <v>3.5999999999999997E-2</v>
      </c>
      <c r="M28" s="96"/>
    </row>
    <row r="29" spans="2:13">
      <c r="D29" s="104"/>
      <c r="E29" s="2"/>
      <c r="F29" s="2"/>
      <c r="G29" s="2"/>
      <c r="H29" s="2"/>
      <c r="I29" s="2"/>
      <c r="M29" s="96"/>
    </row>
    <row r="30" spans="2:13">
      <c r="B30" s="13" t="s">
        <v>344</v>
      </c>
      <c r="C30" s="13"/>
      <c r="D30" s="124"/>
      <c r="E30" s="124">
        <f>E23+E25+E26+E27</f>
        <v>61407.738325440012</v>
      </c>
      <c r="F30" s="124">
        <f t="shared" ref="F30:I30" si="8">F23+F25+F26+F27</f>
        <v>66810.391671600009</v>
      </c>
      <c r="G30" s="124">
        <f t="shared" si="8"/>
        <v>68557.439640132026</v>
      </c>
      <c r="H30" s="124">
        <f t="shared" si="8"/>
        <v>72201.144952198927</v>
      </c>
      <c r="I30" s="124">
        <f t="shared" si="8"/>
        <v>75389.626442328808</v>
      </c>
      <c r="M30" s="124"/>
    </row>
    <row r="31" spans="2:13">
      <c r="D31" s="105"/>
      <c r="M31" s="96"/>
    </row>
    <row r="32" spans="2:13">
      <c r="B32" t="s">
        <v>275</v>
      </c>
      <c r="C32" s="104">
        <f>23186+3956+25809+12087-55888-33327-5966</f>
        <v>-30143</v>
      </c>
      <c r="D32" s="104">
        <f>22926+4106+22878+12352-46236-37720-5522</f>
        <v>-27216</v>
      </c>
      <c r="E32" s="125">
        <f>E33*E14</f>
        <v>-29393.280000000006</v>
      </c>
      <c r="F32" s="125">
        <f>F33*F14</f>
        <v>-32038.675200000012</v>
      </c>
      <c r="G32" s="125">
        <f>G33*G14</f>
        <v>-33960.995712000018</v>
      </c>
      <c r="H32" s="125">
        <f>H33*H14</f>
        <v>-35998.655454720021</v>
      </c>
      <c r="I32" s="125">
        <f>I33*I14</f>
        <v>-38158.574782003227</v>
      </c>
    </row>
    <row r="33" spans="2:13">
      <c r="B33" s="17" t="s">
        <v>126</v>
      </c>
      <c r="D33" s="91">
        <f>D32/D14</f>
        <v>-0.10460691690945291</v>
      </c>
      <c r="E33" s="91">
        <f>D33</f>
        <v>-0.10460691690945291</v>
      </c>
      <c r="F33" s="91">
        <f t="shared" ref="F33:I33" si="9">E33</f>
        <v>-0.10460691690945291</v>
      </c>
      <c r="G33" s="91">
        <f t="shared" si="9"/>
        <v>-0.10460691690945291</v>
      </c>
      <c r="H33" s="91">
        <f t="shared" si="9"/>
        <v>-0.10460691690945291</v>
      </c>
      <c r="I33" s="91">
        <f t="shared" si="9"/>
        <v>-0.10460691690945291</v>
      </c>
      <c r="J33" s="105"/>
    </row>
    <row r="34" spans="2:13">
      <c r="D34" s="105"/>
      <c r="E34" s="91"/>
      <c r="F34" s="91"/>
      <c r="G34" s="91"/>
      <c r="H34" s="91"/>
      <c r="I34" s="91"/>
      <c r="J34" s="105"/>
      <c r="K34" s="23"/>
      <c r="M34" s="91"/>
    </row>
    <row r="35" spans="2:13">
      <c r="B35" s="92" t="str">
        <f>"Present value of UFCF on "&amp;TEXT(D7,"mmm dd, yyyy")&amp;" valuation date"</f>
        <v>Present value of UFCF on Feb 28, 2020 valuation date</v>
      </c>
      <c r="C35" s="56"/>
      <c r="D35" s="209"/>
      <c r="E35" s="56"/>
      <c r="F35" s="209"/>
      <c r="G35" s="209"/>
      <c r="H35" s="209"/>
      <c r="I35" s="209"/>
      <c r="J35" s="105"/>
    </row>
    <row r="36" spans="2:13" ht="16">
      <c r="B36" s="13"/>
      <c r="D36" s="213" t="s">
        <v>269</v>
      </c>
      <c r="E36" s="213" t="s">
        <v>274</v>
      </c>
      <c r="F36" s="214" t="s">
        <v>270</v>
      </c>
      <c r="G36" s="214" t="s">
        <v>271</v>
      </c>
      <c r="H36" s="214" t="s">
        <v>272</v>
      </c>
      <c r="I36" s="214" t="s">
        <v>273</v>
      </c>
      <c r="J36" s="105"/>
    </row>
    <row r="37" spans="2:13">
      <c r="B37" t="s">
        <v>267</v>
      </c>
      <c r="C37" s="210"/>
      <c r="D37" s="122">
        <f>D7</f>
        <v>43889</v>
      </c>
      <c r="E37" s="122">
        <f>IF($H$7=0,E12,AVERAGE(D37,E12))</f>
        <v>44104</v>
      </c>
      <c r="F37" s="122">
        <f>IF($H$7=0,F12,AVERAGE(F12,E12))</f>
        <v>44469</v>
      </c>
      <c r="G37" s="122">
        <f>IF($H$7=0,G12,AVERAGE(G12,F12))</f>
        <v>44834</v>
      </c>
      <c r="H37" s="122">
        <f>IF($H$7=0,H12,AVERAGE(H12,G12))</f>
        <v>45199</v>
      </c>
      <c r="I37" s="122">
        <f>IF($H$7=0,I12,AVERAGE(I12,H12))</f>
        <v>45565</v>
      </c>
      <c r="J37" s="105"/>
    </row>
    <row r="38" spans="2:13">
      <c r="B38" t="s">
        <v>268</v>
      </c>
      <c r="C38" s="211">
        <f>D8</f>
        <v>0.58888888888888891</v>
      </c>
      <c r="D38" s="96"/>
      <c r="E38" s="212">
        <f>C38*E30</f>
        <v>36162.334791648005</v>
      </c>
      <c r="F38" s="212">
        <f>F30</f>
        <v>66810.391671600009</v>
      </c>
      <c r="G38" s="212">
        <f t="shared" ref="G38:I38" si="10">G30</f>
        <v>68557.439640132026</v>
      </c>
      <c r="H38" s="212">
        <f t="shared" si="10"/>
        <v>72201.144952198927</v>
      </c>
      <c r="I38" s="212">
        <f t="shared" si="10"/>
        <v>75389.626442328808</v>
      </c>
      <c r="J38" s="125"/>
      <c r="K38" t="s">
        <v>203</v>
      </c>
    </row>
    <row r="39" spans="2:13" ht="15" customHeight="1">
      <c r="B39" s="13" t="s">
        <v>254</v>
      </c>
      <c r="C39" s="72"/>
      <c r="E39" s="124">
        <f>E38/(1+$H$4)^((E37-$D$37)/365)</f>
        <v>34599.902423480904</v>
      </c>
      <c r="F39" s="124">
        <f t="shared" ref="F39:I39" si="11">F38/(1+$H$4)^((F37-$D$37)/365)</f>
        <v>59305.959550114894</v>
      </c>
      <c r="G39" s="124">
        <f t="shared" si="11"/>
        <v>56460.512635660969</v>
      </c>
      <c r="H39" s="124">
        <f t="shared" si="11"/>
        <v>55165.837962209051</v>
      </c>
      <c r="I39" s="124">
        <f t="shared" si="11"/>
        <v>53429.906888997117</v>
      </c>
      <c r="J39" s="125"/>
    </row>
    <row r="41" spans="2:13">
      <c r="B41" s="92" t="s">
        <v>204</v>
      </c>
      <c r="C41" s="92"/>
      <c r="E41" s="92" t="s">
        <v>205</v>
      </c>
      <c r="F41" s="56"/>
      <c r="G41" s="56"/>
      <c r="H41" s="56"/>
      <c r="I41" s="56"/>
    </row>
    <row r="42" spans="2:13">
      <c r="B42" t="s">
        <v>206</v>
      </c>
      <c r="C42" s="102">
        <v>0.03</v>
      </c>
      <c r="E42" t="s">
        <v>261</v>
      </c>
      <c r="I42" s="96">
        <f>I16</f>
        <v>102138.57032235501</v>
      </c>
      <c r="J42" s="96"/>
    </row>
    <row r="43" spans="2:13">
      <c r="B43" s="129" t="str">
        <f>YEAR(I12)&amp;" FCF x (1+g)"</f>
        <v>2024 FCF x (1+g)</v>
      </c>
      <c r="C43" s="96">
        <f>I30*(1+C42)</f>
        <v>77651.315235598668</v>
      </c>
      <c r="E43" t="s">
        <v>207</v>
      </c>
      <c r="I43" s="187">
        <v>12.5</v>
      </c>
      <c r="J43" s="187"/>
    </row>
    <row r="44" spans="2:13">
      <c r="B44" t="str">
        <f>"Terminal value in "&amp;YEAR(I12)</f>
        <v>Terminal value in 2024</v>
      </c>
      <c r="C44" s="96">
        <f>C43/(H4-C42)</f>
        <v>1622321.8103578528</v>
      </c>
      <c r="E44" t="str">
        <f>"Terminal value in "&amp;YEAR(I12)</f>
        <v>Terminal value in 2024</v>
      </c>
      <c r="I44" s="96">
        <f>I42*I43</f>
        <v>1276732.1290294377</v>
      </c>
      <c r="J44" s="96"/>
    </row>
    <row r="45" spans="2:13">
      <c r="B45" t="s">
        <v>258</v>
      </c>
      <c r="C45" s="96">
        <f>C44/(1+H4)^((I37-D37)/365)</f>
        <v>1149766.9820358872</v>
      </c>
      <c r="E45" t="s">
        <v>258</v>
      </c>
      <c r="I45" s="96">
        <f>I44/(1+H4)^((I37-D37)/365)</f>
        <v>904841.71358001372</v>
      </c>
      <c r="J45" s="96"/>
    </row>
    <row r="46" spans="2:13">
      <c r="B46" t="s">
        <v>259</v>
      </c>
      <c r="C46" s="125">
        <f>SUM(E39:I39)</f>
        <v>258962.11946046294</v>
      </c>
      <c r="E46" t="s">
        <v>259</v>
      </c>
      <c r="I46" s="96">
        <f>C46</f>
        <v>258962.11946046294</v>
      </c>
      <c r="J46" s="96"/>
    </row>
    <row r="47" spans="2:13">
      <c r="B47" s="13" t="s">
        <v>256</v>
      </c>
      <c r="C47" s="123">
        <f>SUM(C45:C46)</f>
        <v>1408729.10149635</v>
      </c>
      <c r="D47" s="115"/>
      <c r="E47" s="13" t="s">
        <v>208</v>
      </c>
      <c r="I47" s="123">
        <f>SUM(I45:I46)</f>
        <v>1163803.8330404768</v>
      </c>
      <c r="J47" s="123"/>
    </row>
    <row r="48" spans="2:13">
      <c r="D48" s="49"/>
    </row>
    <row r="49" spans="2:12">
      <c r="B49" s="185" t="s">
        <v>255</v>
      </c>
      <c r="C49" s="130">
        <f>C45/$C$47</f>
        <v>0.81617323076140502</v>
      </c>
      <c r="E49" s="185" t="s">
        <v>255</v>
      </c>
      <c r="I49" s="130">
        <f>I45/$I$47</f>
        <v>0.77748645252016757</v>
      </c>
      <c r="J49" s="130"/>
    </row>
    <row r="50" spans="2:12">
      <c r="B50" s="185" t="s">
        <v>260</v>
      </c>
      <c r="C50" s="130">
        <f t="shared" ref="C50" si="12">C46/$C$47</f>
        <v>0.18382676923859509</v>
      </c>
      <c r="E50" s="185" t="s">
        <v>260</v>
      </c>
      <c r="G50" s="131"/>
      <c r="I50" s="130">
        <f t="shared" ref="I50" si="13">I46/$I$47</f>
        <v>0.22251354747983229</v>
      </c>
      <c r="J50" s="49"/>
    </row>
    <row r="51" spans="2:12">
      <c r="B51" s="185" t="s">
        <v>210</v>
      </c>
      <c r="C51" s="186">
        <f>C44/I16</f>
        <v>15.883537484788704</v>
      </c>
      <c r="E51" t="s">
        <v>209</v>
      </c>
      <c r="I51" s="194">
        <f>(H4-I38/I44)/(1+I38/I44)</f>
        <v>1.7766329603552719E-2</v>
      </c>
      <c r="J51" s="194"/>
    </row>
    <row r="52" spans="2:12">
      <c r="B52" s="185"/>
      <c r="C52" s="10"/>
      <c r="D52" s="186"/>
      <c r="I52" s="194"/>
      <c r="J52" s="194"/>
    </row>
    <row r="53" spans="2:12">
      <c r="B53" s="92" t="s">
        <v>211</v>
      </c>
      <c r="C53" s="56"/>
      <c r="E53" s="92" t="s">
        <v>212</v>
      </c>
      <c r="F53" s="56"/>
      <c r="G53" s="92"/>
      <c r="H53" s="56"/>
      <c r="I53" s="56"/>
    </row>
    <row r="54" spans="2:12">
      <c r="B54" t="s">
        <v>326</v>
      </c>
      <c r="C54" s="218" t="s">
        <v>349</v>
      </c>
      <c r="L54" s="15"/>
    </row>
    <row r="55" spans="2:12">
      <c r="B55" s="26" t="s">
        <v>312</v>
      </c>
      <c r="C55" s="317">
        <v>43827</v>
      </c>
      <c r="G55" s="16" t="s">
        <v>326</v>
      </c>
      <c r="H55" s="97" t="s">
        <v>234</v>
      </c>
      <c r="I55" s="97" t="s">
        <v>294</v>
      </c>
    </row>
    <row r="56" spans="2:12">
      <c r="B56" s="220" t="s">
        <v>298</v>
      </c>
      <c r="C56" s="132"/>
      <c r="E56" t="s">
        <v>311</v>
      </c>
      <c r="G56" s="218" t="s">
        <v>349</v>
      </c>
      <c r="H56" s="218">
        <v>43847</v>
      </c>
      <c r="I56" s="195">
        <v>4375.4799999999996</v>
      </c>
      <c r="J56" s="195"/>
    </row>
    <row r="57" spans="2:12">
      <c r="B57" s="17" t="s">
        <v>246</v>
      </c>
      <c r="C57" s="23">
        <f>4990+10224+93078</f>
        <v>108292</v>
      </c>
      <c r="E57" s="26" t="s">
        <v>295</v>
      </c>
      <c r="G57" s="218" t="s">
        <v>349</v>
      </c>
      <c r="H57" s="218">
        <v>43827</v>
      </c>
      <c r="I57" s="195">
        <v>96.02</v>
      </c>
      <c r="J57" s="196"/>
    </row>
    <row r="58" spans="2:12" ht="15" customHeight="1">
      <c r="B58" s="17" t="s">
        <v>291</v>
      </c>
      <c r="C58" s="231">
        <f>Shares!E25+Shares!E31</f>
        <v>0</v>
      </c>
      <c r="E58" s="26" t="s">
        <v>292</v>
      </c>
      <c r="G58" s="218"/>
      <c r="H58" s="218"/>
      <c r="I58" s="324">
        <f>Shares!E20</f>
        <v>50.595642000584959</v>
      </c>
      <c r="K58" t="s">
        <v>377</v>
      </c>
    </row>
    <row r="59" spans="2:12" ht="15" customHeight="1">
      <c r="B59" s="17" t="s">
        <v>297</v>
      </c>
      <c r="C59" s="231">
        <f>Shares!E34+Shares!E41</f>
        <v>0</v>
      </c>
      <c r="E59" t="s">
        <v>291</v>
      </c>
      <c r="G59" s="218"/>
      <c r="H59" s="218"/>
      <c r="I59" s="324">
        <f>Shares!E30</f>
        <v>58.171999999999997</v>
      </c>
      <c r="K59" t="s">
        <v>378</v>
      </c>
    </row>
    <row r="60" spans="2:12">
      <c r="B60" s="219" t="s">
        <v>302</v>
      </c>
      <c r="C60" s="2">
        <v>0</v>
      </c>
      <c r="E60" t="s">
        <v>293</v>
      </c>
      <c r="G60" s="218"/>
      <c r="H60" s="218"/>
      <c r="I60" s="324">
        <f>Shares!E40</f>
        <v>195.65</v>
      </c>
      <c r="K60" t="s">
        <v>379</v>
      </c>
    </row>
    <row r="61" spans="2:12" ht="15" customHeight="1">
      <c r="B61" s="220" t="s">
        <v>215</v>
      </c>
      <c r="E61" s="25" t="s">
        <v>216</v>
      </c>
      <c r="I61" s="199">
        <f>SUM(I56:I60)</f>
        <v>4775.9176420005842</v>
      </c>
      <c r="J61" s="197"/>
    </row>
    <row r="62" spans="2:12">
      <c r="B62" s="134" t="s">
        <v>301</v>
      </c>
      <c r="C62" s="2">
        <f>39771+67391+99899</f>
        <v>207061</v>
      </c>
      <c r="J62" s="133"/>
    </row>
    <row r="63" spans="2:12">
      <c r="B63" s="134" t="s">
        <v>299</v>
      </c>
      <c r="C63" s="2">
        <v>0</v>
      </c>
      <c r="J63" s="133"/>
    </row>
    <row r="64" spans="2:12">
      <c r="J64" s="198"/>
    </row>
    <row r="65" spans="2:17">
      <c r="B65" s="135" t="s">
        <v>211</v>
      </c>
      <c r="C65" s="27">
        <f>SUM(C57:C60)-SUM(C62:C63)</f>
        <v>-98769</v>
      </c>
    </row>
    <row r="67" spans="2:17">
      <c r="B67" s="92" t="s">
        <v>217</v>
      </c>
      <c r="C67" s="56"/>
      <c r="D67" s="56"/>
    </row>
    <row r="68" spans="2:17" ht="16">
      <c r="C68" s="225" t="s">
        <v>218</v>
      </c>
      <c r="D68" s="225" t="s">
        <v>45</v>
      </c>
    </row>
    <row r="69" spans="2:17">
      <c r="B69" t="s">
        <v>219</v>
      </c>
      <c r="C69" s="136">
        <f>C47</f>
        <v>1408729.10149635</v>
      </c>
      <c r="D69" s="136">
        <f>I47</f>
        <v>1163803.8330404768</v>
      </c>
    </row>
    <row r="70" spans="2:17">
      <c r="B70" t="s">
        <v>211</v>
      </c>
      <c r="C70" s="189">
        <f>C65</f>
        <v>-98769</v>
      </c>
      <c r="D70" s="189">
        <f>C70</f>
        <v>-98769</v>
      </c>
    </row>
    <row r="71" spans="2:17">
      <c r="B71" t="s">
        <v>262</v>
      </c>
      <c r="C71" s="188">
        <f>C69-C70</f>
        <v>1507498.10149635</v>
      </c>
      <c r="D71" s="188">
        <f>D69-D70</f>
        <v>1262572.8330404768</v>
      </c>
    </row>
    <row r="72" spans="2:17">
      <c r="B72" t="s">
        <v>212</v>
      </c>
      <c r="C72" s="188">
        <f>I61</f>
        <v>4775.9176420005842</v>
      </c>
      <c r="D72" s="188">
        <f>C72</f>
        <v>4775.9176420005842</v>
      </c>
    </row>
    <row r="73" spans="2:17">
      <c r="B73" s="13" t="s">
        <v>220</v>
      </c>
      <c r="C73" s="226">
        <f>C71/C72</f>
        <v>315.64574904706149</v>
      </c>
      <c r="D73" s="226">
        <f t="shared" ref="D73" si="14">D71/D72</f>
        <v>264.36235456346725</v>
      </c>
    </row>
    <row r="74" spans="2:17">
      <c r="B74" s="13"/>
      <c r="C74" s="226"/>
      <c r="D74" s="226"/>
    </row>
    <row r="75" spans="2:17">
      <c r="B75" s="16" t="s">
        <v>340</v>
      </c>
      <c r="C75" s="97" t="s">
        <v>218</v>
      </c>
      <c r="D75" s="97" t="s">
        <v>45</v>
      </c>
      <c r="E75" s="228"/>
      <c r="F75" s="228"/>
    </row>
    <row r="76" spans="2:17">
      <c r="B76" t="s">
        <v>308</v>
      </c>
      <c r="C76" s="227">
        <f>C69/$E$14</f>
        <v>5.0134863502187201</v>
      </c>
      <c r="D76" s="227">
        <f>D69/$E$14</f>
        <v>4.1418287058051346</v>
      </c>
      <c r="E76" s="228"/>
      <c r="F76" s="228"/>
    </row>
    <row r="77" spans="2:17">
      <c r="B77" t="s">
        <v>309</v>
      </c>
      <c r="C77" s="228">
        <f>C69/$E$16</f>
        <v>17.287883966271451</v>
      </c>
      <c r="D77" s="228">
        <f>D69/$E$16</f>
        <v>14.282167951052188</v>
      </c>
      <c r="E77" s="228"/>
      <c r="F77" s="228"/>
      <c r="G77" s="116"/>
      <c r="H77" s="116"/>
    </row>
    <row r="78" spans="2:17">
      <c r="B78" s="125" t="s">
        <v>310</v>
      </c>
      <c r="C78" s="228">
        <f>C69/$E$18</f>
        <v>20.380025813897237</v>
      </c>
      <c r="D78" s="228">
        <f>D69/$E$18</f>
        <v>16.836702056118433</v>
      </c>
      <c r="E78" s="228"/>
      <c r="F78" s="281"/>
    </row>
    <row r="79" spans="2:17">
      <c r="F79" s="116"/>
    </row>
    <row r="80" spans="2:17">
      <c r="B80" s="92" t="s">
        <v>325</v>
      </c>
      <c r="C80" s="92"/>
      <c r="D80" s="92"/>
      <c r="E80" s="92"/>
      <c r="F80" s="92"/>
      <c r="G80" s="92"/>
      <c r="H80" s="92"/>
      <c r="I80" s="92"/>
      <c r="J80" s="92"/>
      <c r="K80" s="92"/>
      <c r="L80" s="92"/>
      <c r="M80" s="92"/>
      <c r="N80" s="92"/>
      <c r="O80" s="92"/>
      <c r="P80" s="92"/>
      <c r="Q80" s="92"/>
    </row>
    <row r="81" spans="2:17">
      <c r="B81" s="13"/>
    </row>
    <row r="82" spans="2:17" ht="17.25" customHeight="1">
      <c r="B82" s="237"/>
      <c r="C82" s="13"/>
      <c r="D82" s="138" t="s">
        <v>220</v>
      </c>
      <c r="E82" s="139"/>
      <c r="F82" s="139"/>
      <c r="G82" s="139"/>
      <c r="H82" s="139"/>
      <c r="I82" s="139"/>
      <c r="J82" s="200"/>
      <c r="L82" s="138" t="s">
        <v>339</v>
      </c>
      <c r="M82" s="139"/>
      <c r="N82" s="139"/>
      <c r="O82" s="139"/>
      <c r="P82" s="139"/>
      <c r="Q82" s="139"/>
    </row>
    <row r="83" spans="2:17" ht="15" customHeight="1">
      <c r="B83" s="237"/>
      <c r="D83" s="26"/>
      <c r="E83" s="94" t="s">
        <v>221</v>
      </c>
      <c r="F83" s="94"/>
      <c r="G83" s="94"/>
      <c r="H83" s="94"/>
      <c r="I83" s="94"/>
      <c r="J83" s="202"/>
      <c r="L83" s="26"/>
      <c r="M83" s="94" t="s">
        <v>221</v>
      </c>
      <c r="N83" s="94"/>
      <c r="O83" s="94"/>
      <c r="P83" s="94"/>
      <c r="Q83" s="94"/>
    </row>
    <row r="84" spans="2:17" ht="15" customHeight="1">
      <c r="B84" s="237"/>
      <c r="C84" s="95"/>
      <c r="D84" s="282">
        <f>C73</f>
        <v>315.64574904706149</v>
      </c>
      <c r="E84" s="141">
        <f t="shared" ref="E84" si="15">F84-0.005</f>
        <v>1.9999999999999997E-2</v>
      </c>
      <c r="F84" s="142">
        <f>G84-0.005</f>
        <v>2.4999999999999998E-2</v>
      </c>
      <c r="G84" s="143">
        <v>0.03</v>
      </c>
      <c r="H84" s="142">
        <f>G84+0.005</f>
        <v>3.4999999999999996E-2</v>
      </c>
      <c r="I84" s="142">
        <f t="shared" ref="I84" si="16">H84+0.005</f>
        <v>3.9999999999999994E-2</v>
      </c>
      <c r="J84" s="203"/>
      <c r="L84" s="145">
        <f>C77</f>
        <v>17.287883966271451</v>
      </c>
      <c r="M84" s="141">
        <f t="shared" ref="M84" si="17">N84-0.005</f>
        <v>1.9999999999999997E-2</v>
      </c>
      <c r="N84" s="142">
        <f>O84-0.005</f>
        <v>2.4999999999999998E-2</v>
      </c>
      <c r="O84" s="143">
        <v>0.03</v>
      </c>
      <c r="P84" s="142">
        <f>O84+0.005</f>
        <v>3.4999999999999996E-2</v>
      </c>
      <c r="Q84" s="142">
        <f t="shared" ref="Q84" si="18">P84+0.005</f>
        <v>3.9999999999999994E-2</v>
      </c>
    </row>
    <row r="85" spans="2:17" ht="15" customHeight="1">
      <c r="B85" s="237"/>
      <c r="D85" s="146">
        <f t="shared" ref="D85" si="19">D86+0.005</f>
        <v>0.1</v>
      </c>
      <c r="E85" s="147">
        <f t="dataTable" ref="E85:I89" dt2D="1" dtr="1" r1="C42" r2="H4"/>
        <v>201.9331080460075</v>
      </c>
      <c r="F85" s="147">
        <v>211.27425197104569</v>
      </c>
      <c r="G85" s="147">
        <v>221.94984502823226</v>
      </c>
      <c r="H85" s="147">
        <v>234.26783701729366</v>
      </c>
      <c r="I85" s="147">
        <v>248.63882767119858</v>
      </c>
      <c r="J85" s="204"/>
      <c r="L85" s="146">
        <f t="shared" ref="L85" si="20">L86+0.005</f>
        <v>0.1</v>
      </c>
      <c r="M85" s="137">
        <f t="dataTable" ref="M85:Q89" dt2D="1" dtr="1" r1="C42" r2="H4" ca="1"/>
        <v>10.623194359987965</v>
      </c>
      <c r="N85" s="137">
        <v>11.170678125028855</v>
      </c>
      <c r="O85" s="137">
        <v>11.796373856504161</v>
      </c>
      <c r="P85" s="137">
        <v>12.518330469744898</v>
      </c>
      <c r="Q85" s="137">
        <v>13.360613185192424</v>
      </c>
    </row>
    <row r="86" spans="2:17" ht="15" customHeight="1">
      <c r="B86" s="237"/>
      <c r="D86" s="146">
        <f>D87+0.005</f>
        <v>9.5000000000000001E-2</v>
      </c>
      <c r="E86" s="147">
        <v>214.15672005304518</v>
      </c>
      <c r="F86" s="147">
        <v>225.00844021553095</v>
      </c>
      <c r="G86" s="147">
        <v>237.52965578762993</v>
      </c>
      <c r="H86" s="147">
        <v>252.13774062174537</v>
      </c>
      <c r="I86" s="147">
        <v>269.40184088024546</v>
      </c>
      <c r="J86" s="204"/>
      <c r="L86" s="146">
        <f>L87+0.005</f>
        <v>9.5000000000000001E-2</v>
      </c>
      <c r="M86" s="137">
        <v>11.339619369356896</v>
      </c>
      <c r="N86" s="137">
        <v>11.975637897644754</v>
      </c>
      <c r="O86" s="137">
        <v>12.70950543028459</v>
      </c>
      <c r="P86" s="137">
        <v>13.565684218364398</v>
      </c>
      <c r="Q86" s="137">
        <v>14.577531877004173</v>
      </c>
    </row>
    <row r="87" spans="2:17" ht="15" customHeight="1">
      <c r="B87" s="237"/>
      <c r="C87" s="95" t="s">
        <v>222</v>
      </c>
      <c r="D87" s="148">
        <v>0.09</v>
      </c>
      <c r="E87" s="147">
        <v>228.13014020292965</v>
      </c>
      <c r="F87" s="147">
        <v>240.85888538810065</v>
      </c>
      <c r="G87" s="147">
        <v>255.70908810413357</v>
      </c>
      <c r="H87" s="147">
        <v>273.25932767762703</v>
      </c>
      <c r="I87" s="147">
        <v>294.31961516581907</v>
      </c>
      <c r="J87" s="204"/>
      <c r="K87" s="95" t="s">
        <v>222</v>
      </c>
      <c r="L87" s="148">
        <v>0.09</v>
      </c>
      <c r="M87" s="137">
        <v>12.158600506522676</v>
      </c>
      <c r="N87" s="137">
        <v>12.904631334668281</v>
      </c>
      <c r="O87" s="137">
        <v>13.775000634171491</v>
      </c>
      <c r="P87" s="137">
        <v>14.803618897220739</v>
      </c>
      <c r="Q87" s="137">
        <v>16.037960812879835</v>
      </c>
    </row>
    <row r="88" spans="2:17" ht="15" customHeight="1">
      <c r="B88" s="237"/>
      <c r="D88" s="146">
        <f>D87-0.005</f>
        <v>8.4999999999999992E-2</v>
      </c>
      <c r="E88" s="147">
        <v>244.25725121916426</v>
      </c>
      <c r="F88" s="147">
        <v>259.35472574624447</v>
      </c>
      <c r="G88" s="147">
        <v>277.19719564188478</v>
      </c>
      <c r="H88" s="147">
        <v>298.60815951665307</v>
      </c>
      <c r="I88" s="147">
        <v>324.77711536359215</v>
      </c>
      <c r="J88" s="204"/>
      <c r="L88" s="146">
        <f>L87-0.005</f>
        <v>8.4999999999999992E-2</v>
      </c>
      <c r="M88" s="137">
        <v>13.103809308491162</v>
      </c>
      <c r="N88" s="137">
        <v>13.988671190828663</v>
      </c>
      <c r="O88" s="137">
        <v>15.034417051772985</v>
      </c>
      <c r="P88" s="137">
        <v>16.289312084906172</v>
      </c>
      <c r="Q88" s="137">
        <v>17.823072680957839</v>
      </c>
    </row>
    <row r="89" spans="2:17" ht="15" customHeight="1">
      <c r="B89" s="238" t="s">
        <v>223</v>
      </c>
      <c r="D89" s="149">
        <f>D88-0.005</f>
        <v>7.9999999999999988E-2</v>
      </c>
      <c r="E89" s="147">
        <v>263.07656573713501</v>
      </c>
      <c r="F89" s="147">
        <v>281.21751559219524</v>
      </c>
      <c r="G89" s="147">
        <v>302.98665541826767</v>
      </c>
      <c r="H89" s="147">
        <v>329.59338187235619</v>
      </c>
      <c r="I89" s="147">
        <v>362.85178993996675</v>
      </c>
      <c r="J89" s="204"/>
      <c r="L89" s="149">
        <f>L88-0.005</f>
        <v>7.9999999999999988E-2</v>
      </c>
      <c r="M89" s="137">
        <v>14.206807961597256</v>
      </c>
      <c r="N89" s="137">
        <v>15.270047711222009</v>
      </c>
      <c r="O89" s="137">
        <v>16.545935410771719</v>
      </c>
      <c r="P89" s="137">
        <v>18.105353710221362</v>
      </c>
      <c r="Q89" s="137">
        <v>20.054626584533416</v>
      </c>
    </row>
    <row r="90" spans="2:17" ht="15" customHeight="1">
      <c r="B90" s="238" t="s">
        <v>224</v>
      </c>
      <c r="E90" s="150"/>
      <c r="F90" s="150"/>
      <c r="G90" s="150"/>
      <c r="H90" s="150"/>
      <c r="I90" s="150"/>
      <c r="J90" s="205"/>
    </row>
    <row r="91" spans="2:17" ht="17.25" customHeight="1">
      <c r="B91" s="237"/>
      <c r="D91" s="138" t="s">
        <v>220</v>
      </c>
      <c r="E91" s="139"/>
      <c r="F91" s="139"/>
      <c r="G91" s="139"/>
      <c r="H91" s="139"/>
      <c r="I91" s="139"/>
      <c r="J91" s="200"/>
      <c r="L91" s="138" t="s">
        <v>339</v>
      </c>
      <c r="M91" s="139"/>
      <c r="N91" s="139"/>
      <c r="O91" s="139"/>
      <c r="P91" s="139"/>
      <c r="Q91" s="139"/>
    </row>
    <row r="92" spans="2:17" ht="15" customHeight="1">
      <c r="B92" s="237"/>
      <c r="E92" s="94" t="s">
        <v>225</v>
      </c>
      <c r="F92" s="94"/>
      <c r="G92" s="94"/>
      <c r="H92" s="94"/>
      <c r="I92" s="94"/>
      <c r="J92" s="202"/>
      <c r="M92" s="94" t="s">
        <v>225</v>
      </c>
      <c r="N92" s="94"/>
      <c r="O92" s="94"/>
      <c r="P92" s="94"/>
      <c r="Q92" s="94"/>
    </row>
    <row r="93" spans="2:17" ht="15" customHeight="1">
      <c r="B93" s="237"/>
      <c r="D93" s="151">
        <f>D73</f>
        <v>264.36235456346725</v>
      </c>
      <c r="E93" s="152">
        <f t="shared" ref="E93" si="21">F93-0.5</f>
        <v>11.5</v>
      </c>
      <c r="F93" s="152">
        <f>G93-0.5</f>
        <v>12</v>
      </c>
      <c r="G93" s="153">
        <v>12.5</v>
      </c>
      <c r="H93" s="152">
        <f>G93+0.5</f>
        <v>13</v>
      </c>
      <c r="I93" s="152">
        <f t="shared" ref="I93" si="22">H93+0.5</f>
        <v>13.5</v>
      </c>
      <c r="J93" s="206"/>
      <c r="L93" s="145">
        <f>D77</f>
        <v>14.282167951052188</v>
      </c>
      <c r="M93" s="152">
        <f t="shared" ref="M93" si="23">N93-0.5</f>
        <v>11.5</v>
      </c>
      <c r="N93" s="152">
        <f>O93-0.5</f>
        <v>12</v>
      </c>
      <c r="O93" s="153">
        <v>12.5</v>
      </c>
      <c r="P93" s="152">
        <f>O93+0.5</f>
        <v>13</v>
      </c>
      <c r="Q93" s="152">
        <f t="shared" ref="Q93" si="24">P93+0.5</f>
        <v>13.5</v>
      </c>
    </row>
    <row r="94" spans="2:17" ht="15" customHeight="1">
      <c r="B94" s="237"/>
      <c r="D94" s="146">
        <f t="shared" ref="D94" si="25">D95+0.005</f>
        <v>0.1</v>
      </c>
      <c r="E94" s="147">
        <f t="dataTable" ref="E94:I98" dt2D="1" dtr="1" r1="I43" r2="H4" ca="1"/>
        <v>230.774899973331</v>
      </c>
      <c r="F94" s="147">
        <v>237.67788310270413</v>
      </c>
      <c r="G94" s="147">
        <v>244.58086623207731</v>
      </c>
      <c r="H94" s="147">
        <v>251.48384936145044</v>
      </c>
      <c r="I94" s="147">
        <v>258.38683249082356</v>
      </c>
      <c r="J94" s="204"/>
      <c r="L94" s="146">
        <f t="shared" ref="L94" si="26">L95+0.005</f>
        <v>0.1</v>
      </c>
      <c r="M94" s="137">
        <f t="dataTable" ref="M94:Q98" dt2D="1" dtr="1" r1="I43" r2="H4" ca="1"/>
        <v>12.31360968402254</v>
      </c>
      <c r="N94" s="137">
        <v>12.718193022424265</v>
      </c>
      <c r="O94" s="137">
        <v>13.122776360825991</v>
      </c>
      <c r="P94" s="137">
        <v>13.527359699227718</v>
      </c>
      <c r="Q94" s="137">
        <v>13.931943037629443</v>
      </c>
    </row>
    <row r="95" spans="2:17" ht="15" customHeight="1">
      <c r="B95" s="237"/>
      <c r="D95" s="146">
        <f>D96+0.005</f>
        <v>9.5000000000000001E-2</v>
      </c>
      <c r="E95" s="147">
        <v>234.7633222692138</v>
      </c>
      <c r="F95" s="147">
        <v>241.81223207056388</v>
      </c>
      <c r="G95" s="147">
        <v>248.86114187191396</v>
      </c>
      <c r="H95" s="147">
        <v>255.91005167326401</v>
      </c>
      <c r="I95" s="147">
        <v>262.95896147461406</v>
      </c>
      <c r="J95" s="204"/>
      <c r="L95" s="146">
        <f>L96+0.005</f>
        <v>9.5000000000000001E-2</v>
      </c>
      <c r="M95" s="137">
        <v>12.54737082426897</v>
      </c>
      <c r="N95" s="137">
        <v>12.960506914286018</v>
      </c>
      <c r="O95" s="137">
        <v>13.373643004303066</v>
      </c>
      <c r="P95" s="137">
        <v>13.78677909432011</v>
      </c>
      <c r="Q95" s="137">
        <v>14.199915184337158</v>
      </c>
    </row>
    <row r="96" spans="2:17" ht="15" customHeight="1">
      <c r="B96" s="237"/>
      <c r="C96" s="95" t="s">
        <v>222</v>
      </c>
      <c r="D96" s="148">
        <v>0.09</v>
      </c>
      <c r="E96" s="147">
        <v>238.85124442574289</v>
      </c>
      <c r="F96" s="147">
        <v>246.0498549067255</v>
      </c>
      <c r="G96" s="147">
        <v>253.24846538770814</v>
      </c>
      <c r="H96" s="147">
        <v>260.44707586869072</v>
      </c>
      <c r="I96" s="147">
        <v>267.64568634967338</v>
      </c>
      <c r="J96" s="204"/>
      <c r="K96" s="95" t="s">
        <v>222</v>
      </c>
      <c r="L96" s="148">
        <v>0.09</v>
      </c>
      <c r="M96" s="137">
        <v>12.786963644100345</v>
      </c>
      <c r="N96" s="137">
        <v>13.20887368004651</v>
      </c>
      <c r="O96" s="137">
        <v>13.630783715992679</v>
      </c>
      <c r="P96" s="137">
        <v>14.052693751938843</v>
      </c>
      <c r="Q96" s="137">
        <v>14.474603787885012</v>
      </c>
    </row>
    <row r="97" spans="2:17" ht="15" customHeight="1">
      <c r="B97" s="237"/>
      <c r="D97" s="146">
        <f>D96-0.005</f>
        <v>8.4999999999999992E-2</v>
      </c>
      <c r="E97" s="147">
        <v>243.04165841026403</v>
      </c>
      <c r="F97" s="147">
        <v>250.39385917218766</v>
      </c>
      <c r="G97" s="147">
        <v>257.74605993411137</v>
      </c>
      <c r="H97" s="147">
        <v>265.09826069603503</v>
      </c>
      <c r="I97" s="147">
        <v>272.45046145795868</v>
      </c>
      <c r="J97" s="204"/>
      <c r="L97" s="146">
        <f>L96-0.005</f>
        <v>8.4999999999999992E-2</v>
      </c>
      <c r="M97" s="137">
        <v>13.032563502504866</v>
      </c>
      <c r="N97" s="137">
        <v>13.463475453629524</v>
      </c>
      <c r="O97" s="137">
        <v>13.894387404754186</v>
      </c>
      <c r="P97" s="137">
        <v>14.325299355878846</v>
      </c>
      <c r="Q97" s="137">
        <v>14.756211307003507</v>
      </c>
    </row>
    <row r="98" spans="2:17" ht="15" customHeight="1">
      <c r="B98" s="237"/>
      <c r="D98" s="149">
        <f>D97-0.005</f>
        <v>7.9999999999999988E-2</v>
      </c>
      <c r="E98" s="147">
        <v>247.33766104632039</v>
      </c>
      <c r="F98" s="147">
        <v>254.84746138076872</v>
      </c>
      <c r="G98" s="147">
        <v>262.35726171521708</v>
      </c>
      <c r="H98" s="147">
        <v>269.86706204966544</v>
      </c>
      <c r="I98" s="147">
        <v>277.37686238411379</v>
      </c>
      <c r="J98" s="204"/>
      <c r="L98" s="149">
        <f>L97-0.005</f>
        <v>7.9999999999999988E-2</v>
      </c>
      <c r="M98" s="137">
        <v>13.284351904084826</v>
      </c>
      <c r="N98" s="137">
        <v>13.724500754675661</v>
      </c>
      <c r="O98" s="137">
        <v>14.164649605266495</v>
      </c>
      <c r="P98" s="137">
        <v>14.604798455857331</v>
      </c>
      <c r="Q98" s="137">
        <v>15.044947306448167</v>
      </c>
    </row>
    <row r="99" spans="2:17">
      <c r="J99" s="90"/>
    </row>
    <row r="100" spans="2:17">
      <c r="B100" s="121" t="s">
        <v>226</v>
      </c>
      <c r="C100" s="121"/>
      <c r="D100" s="121"/>
      <c r="E100" s="121"/>
      <c r="G100" s="121" t="s">
        <v>227</v>
      </c>
      <c r="H100" s="121"/>
      <c r="I100" s="121"/>
      <c r="J100" s="201"/>
      <c r="K100" s="121"/>
      <c r="L100" s="121"/>
      <c r="M100" s="121"/>
      <c r="N100" s="121"/>
      <c r="O100" s="121"/>
      <c r="P100" s="121"/>
    </row>
    <row r="101" spans="2:17">
      <c r="J101" s="90"/>
    </row>
    <row r="102" spans="2:17">
      <c r="J102" s="90"/>
    </row>
    <row r="103" spans="2:17">
      <c r="J103" s="90"/>
    </row>
    <row r="104" spans="2:17">
      <c r="J104" s="90"/>
    </row>
    <row r="105" spans="2:17">
      <c r="J105" s="90"/>
    </row>
    <row r="106" spans="2:17">
      <c r="J106" s="90"/>
    </row>
    <row r="107" spans="2:17">
      <c r="J107" s="90"/>
    </row>
    <row r="108" spans="2:17">
      <c r="J108" s="90"/>
    </row>
    <row r="109" spans="2:17">
      <c r="J109" s="90"/>
    </row>
    <row r="110" spans="2:17">
      <c r="J110" s="90"/>
    </row>
    <row r="111" spans="2:17">
      <c r="J111" s="90"/>
    </row>
    <row r="112" spans="2:17">
      <c r="J112" s="90"/>
    </row>
    <row r="113" spans="2:17">
      <c r="J113" s="90"/>
    </row>
    <row r="114" spans="2:17">
      <c r="J114" s="90"/>
      <c r="M114" s="106"/>
    </row>
    <row r="115" spans="2:17">
      <c r="J115" s="90"/>
    </row>
    <row r="116" spans="2:17">
      <c r="J116" s="90"/>
    </row>
    <row r="117" spans="2:17">
      <c r="J117" s="90"/>
    </row>
    <row r="118" spans="2:17">
      <c r="J118" s="90"/>
    </row>
    <row r="119" spans="2:17">
      <c r="J119" s="90"/>
    </row>
    <row r="120" spans="2:17">
      <c r="J120" s="90"/>
    </row>
    <row r="121" spans="2:17">
      <c r="B121" s="155"/>
      <c r="C121" s="156" t="s">
        <v>228</v>
      </c>
      <c r="D121" s="156" t="s">
        <v>229</v>
      </c>
      <c r="E121" s="157" t="s">
        <v>230</v>
      </c>
      <c r="G121" s="155"/>
      <c r="H121" s="128"/>
      <c r="I121" s="128"/>
      <c r="J121" s="207"/>
      <c r="K121" s="128"/>
      <c r="L121" s="128"/>
      <c r="M121" s="128"/>
      <c r="N121" s="128"/>
      <c r="O121" s="156" t="s">
        <v>228</v>
      </c>
      <c r="P121" s="156" t="s">
        <v>229</v>
      </c>
      <c r="Q121" s="157" t="s">
        <v>230</v>
      </c>
    </row>
    <row r="122" spans="2:17">
      <c r="B122" s="158" t="str">
        <f>"DCF Value at "&amp;TEXT(E93,"0.0x")&amp;"-"&amp;TEXT(I93,"0.0x")&amp;" Exit EBITDA Range at "&amp;TEXT(D96,"0.0%")&amp;" WACC"</f>
        <v>DCF Value at 11.5x-13.5x Exit EBITDA Range at 9.0% WACC</v>
      </c>
      <c r="C122" s="100">
        <f>E96</f>
        <v>238.85124442574289</v>
      </c>
      <c r="D122" s="100">
        <f>E122-C122</f>
        <v>28.794441923930492</v>
      </c>
      <c r="E122" s="159">
        <f>I96</f>
        <v>267.64568634967338</v>
      </c>
      <c r="G122" s="158" t="str">
        <f>"LTM EBITDA Purchase Multiple at "&amp;TEXT(M84,"0.0%")&amp;"-"&amp;TEXT(Q84,"0.0%")&amp;" Perpetuity Growth at "&amp;TEXT(L87,"0.0%")&amp;" WACC"</f>
        <v>LTM EBITDA Purchase Multiple at 2.0%-4.0% Perpetuity Growth at 9.0% WACC</v>
      </c>
      <c r="J122" s="90"/>
      <c r="O122" s="98">
        <f>M87</f>
        <v>12.158600506522676</v>
      </c>
      <c r="P122" s="98">
        <f>Q122-O122</f>
        <v>3.8793603063571584</v>
      </c>
      <c r="Q122" s="160">
        <f>Q87</f>
        <v>16.037960812879835</v>
      </c>
    </row>
    <row r="123" spans="2:17">
      <c r="B123" s="161" t="str">
        <f>"DCF Value at "&amp;TEXT(E84,"0.0%")&amp;"-"&amp;TEXT(I84,"0.0%")&amp;" Perpetuity Range at "&amp;TEXT(D96,"0.0%")&amp;" WACC"</f>
        <v>DCF Value at 2.0%-4.0% Perpetuity Range at 9.0% WACC</v>
      </c>
      <c r="C123" s="100">
        <f>E87</f>
        <v>228.13014020292965</v>
      </c>
      <c r="D123" s="100">
        <f>E123-C123</f>
        <v>66.18947496288942</v>
      </c>
      <c r="E123" s="159">
        <f>I87</f>
        <v>294.31961516581907</v>
      </c>
      <c r="G123" s="161" t="str">
        <f>"LTM EBITDA Purchase Multiple at "&amp;TEXT(M96,"0.0x")&amp;"-"&amp;TEXT(Q96,"0.0x")&amp;" Exit EBITDA Multiple at "&amp;TEXT(L96,"0.0%")&amp;" WACC"</f>
        <v>LTM EBITDA Purchase Multiple at 12.8x-14.5x Exit EBITDA Multiple at 9.0% WACC</v>
      </c>
      <c r="J123" s="90"/>
      <c r="O123" s="98">
        <f>M96</f>
        <v>12.786963644100345</v>
      </c>
      <c r="P123" s="98">
        <f>Q123-O123</f>
        <v>1.6876401437846678</v>
      </c>
      <c r="Q123" s="160">
        <f>Q96</f>
        <v>14.474603787885012</v>
      </c>
    </row>
    <row r="124" spans="2:17">
      <c r="B124" s="162" t="s">
        <v>231</v>
      </c>
      <c r="C124" s="283">
        <v>169.5</v>
      </c>
      <c r="D124" s="283">
        <f>E124-C124</f>
        <v>158.35000000000002</v>
      </c>
      <c r="E124" s="284">
        <v>327.85</v>
      </c>
      <c r="G124" s="162" t="str">
        <f>"LTM EBITDA Purchase Multiple at "&amp;TEXT(L98,"0.0%")&amp;"-"&amp;TEXT(L94,"0.0%")&amp;" WACC at "&amp;TEXT(O93,"0.0x")&amp;" Exit EBITDA"</f>
        <v>LTM EBITDA Purchase Multiple at 8.0%-10.0% WACC at 12.5x Exit EBITDA</v>
      </c>
      <c r="H124" s="5"/>
      <c r="I124" s="5"/>
      <c r="J124" s="208"/>
      <c r="K124" s="5"/>
      <c r="L124" s="5"/>
      <c r="M124" s="5"/>
      <c r="N124" s="5"/>
      <c r="O124" s="163">
        <f>O94</f>
        <v>13.122776360825991</v>
      </c>
      <c r="P124" s="163">
        <f>Q124-O124</f>
        <v>1.0418732444405041</v>
      </c>
      <c r="Q124" s="164">
        <f>O98</f>
        <v>14.164649605266495</v>
      </c>
    </row>
    <row r="125" spans="2:17">
      <c r="J125" s="90"/>
    </row>
    <row r="126" spans="2:17">
      <c r="J126" s="90"/>
    </row>
  </sheetData>
  <conditionalFormatting sqref="E85:J89 E94:J98">
    <cfRule type="cellIs" dxfId="5" priority="1" operator="lessThan">
      <formula>$C$7</formula>
    </cfRule>
  </conditionalFormatting>
  <dataValidations count="1">
    <dataValidation type="list" allowBlank="1" showInputMessage="1" showErrorMessage="1" sqref="H7" xr:uid="{5D77A4DF-9DDC-40CF-A290-C125EB36BB1A}">
      <formula1>"0,1"</formula1>
    </dataValidation>
  </dataValidations>
  <pageMargins left="0.7" right="0.7" top="0.75" bottom="0.75" header="0.3" footer="0.3"/>
  <pageSetup orientation="portrait" r:id="rId1"/>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190268-28DB-4710-99C9-0B499A8FEEA3}">
  <sheetPr>
    <tabColor theme="4"/>
    <pageSetUpPr fitToPage="1"/>
  </sheetPr>
  <dimension ref="B1:U203"/>
  <sheetViews>
    <sheetView zoomScaleNormal="100" workbookViewId="0"/>
  </sheetViews>
  <sheetFormatPr defaultColWidth="8.81640625" defaultRowHeight="14.5"/>
  <cols>
    <col min="1" max="1" width="1.453125" customWidth="1"/>
    <col min="2" max="2" width="1.6328125" customWidth="1"/>
    <col min="3" max="3" width="46.6328125" bestFit="1" customWidth="1"/>
    <col min="4" max="4" width="12.453125" bestFit="1" customWidth="1"/>
    <col min="5" max="12" width="11.453125" customWidth="1"/>
    <col min="13" max="13" width="3.36328125" customWidth="1"/>
    <col min="14" max="14" width="11.81640625" customWidth="1"/>
    <col min="15" max="17" width="10.36328125" bestFit="1" customWidth="1"/>
    <col min="18" max="19" width="9.453125" bestFit="1" customWidth="1"/>
  </cols>
  <sheetData>
    <row r="1" spans="2:20" ht="15" thickBot="1"/>
    <row r="2" spans="2:20" ht="15" thickBot="1">
      <c r="C2" s="52" t="str">
        <f>"Financial Statement Model for "&amp;D5</f>
        <v>Financial Statement Model for Apple</v>
      </c>
      <c r="D2" s="41"/>
      <c r="E2" s="41"/>
      <c r="F2" s="41"/>
      <c r="G2" s="41"/>
      <c r="H2" s="41"/>
      <c r="I2" s="41"/>
      <c r="J2" s="41"/>
      <c r="K2" s="41"/>
      <c r="L2" s="41"/>
    </row>
    <row r="3" spans="2:20">
      <c r="B3" s="337"/>
      <c r="C3" s="337" t="str">
        <f>'Financials '!$B$3</f>
        <v xml:space="preserve">$ and shares in millions, except per share data </v>
      </c>
      <c r="D3" s="37"/>
      <c r="E3" s="37"/>
      <c r="F3" s="37"/>
      <c r="G3" s="37"/>
      <c r="H3" s="37"/>
    </row>
    <row r="5" spans="2:20">
      <c r="C5" s="1" t="s">
        <v>5</v>
      </c>
      <c r="D5" s="61" t="s">
        <v>48</v>
      </c>
      <c r="I5" t="s">
        <v>74</v>
      </c>
      <c r="L5" s="62" t="s">
        <v>75</v>
      </c>
    </row>
    <row r="6" spans="2:20">
      <c r="C6" s="1" t="s">
        <v>6</v>
      </c>
      <c r="D6" s="61" t="s">
        <v>49</v>
      </c>
    </row>
    <row r="7" spans="2:20">
      <c r="C7" t="s">
        <v>100</v>
      </c>
      <c r="D7" s="62">
        <v>1</v>
      </c>
    </row>
    <row r="8" spans="2:20">
      <c r="C8" t="s">
        <v>70</v>
      </c>
      <c r="D8" s="114">
        <v>293.64999999999998</v>
      </c>
    </row>
    <row r="9" spans="2:20">
      <c r="C9" t="s">
        <v>9</v>
      </c>
      <c r="D9" s="63">
        <v>43830</v>
      </c>
    </row>
    <row r="10" spans="2:20">
      <c r="C10" s="1" t="s">
        <v>8</v>
      </c>
      <c r="D10" s="64">
        <v>43737</v>
      </c>
    </row>
    <row r="11" spans="2:20" ht="15" customHeight="1">
      <c r="C11" t="s">
        <v>178</v>
      </c>
      <c r="D11" s="70">
        <v>4443.2650000000003</v>
      </c>
    </row>
    <row r="13" spans="2:20">
      <c r="C13" s="4" t="s">
        <v>19</v>
      </c>
      <c r="D13" s="5"/>
      <c r="E13" s="5"/>
      <c r="F13" s="5"/>
      <c r="G13" s="5"/>
      <c r="H13" s="5"/>
      <c r="I13" s="5"/>
      <c r="J13" s="5"/>
      <c r="K13" s="5"/>
      <c r="L13" s="5"/>
    </row>
    <row r="14" spans="2:20">
      <c r="C14" t="s">
        <v>10</v>
      </c>
      <c r="D14" s="6">
        <f>E14-1</f>
        <v>2016</v>
      </c>
      <c r="E14" s="6">
        <f>F14-1</f>
        <v>2017</v>
      </c>
      <c r="F14" s="6">
        <f>G14-1</f>
        <v>2018</v>
      </c>
      <c r="G14" s="6">
        <f>YEAR(D10)</f>
        <v>2019</v>
      </c>
      <c r="H14" s="7">
        <f>G14+1</f>
        <v>2020</v>
      </c>
      <c r="I14" s="7">
        <f>H14+1</f>
        <v>2021</v>
      </c>
      <c r="J14" s="7">
        <f>I14+1</f>
        <v>2022</v>
      </c>
      <c r="K14" s="7">
        <f>J14+1</f>
        <v>2023</v>
      </c>
      <c r="L14" s="7">
        <f>K14+1</f>
        <v>2024</v>
      </c>
    </row>
    <row r="15" spans="2:20">
      <c r="C15" s="8" t="s">
        <v>7</v>
      </c>
      <c r="D15" s="48">
        <f>EOMONTH(E15,-12)</f>
        <v>42643</v>
      </c>
      <c r="E15" s="48">
        <f>EOMONTH(F15,-12)</f>
        <v>43008</v>
      </c>
      <c r="F15" s="48">
        <v>43372</v>
      </c>
      <c r="G15" s="48">
        <f>D10</f>
        <v>43737</v>
      </c>
      <c r="H15" s="48">
        <f>EOMONTH(G15,12)</f>
        <v>44104</v>
      </c>
      <c r="I15" s="48">
        <f>EOMONTH(H15,12)</f>
        <v>44469</v>
      </c>
      <c r="J15" s="48">
        <f>EOMONTH(I15,12)</f>
        <v>44834</v>
      </c>
      <c r="K15" s="48">
        <f>EOMONTH(J15,12)</f>
        <v>45199</v>
      </c>
      <c r="L15" s="48">
        <f>EOMONTH(K15,12)</f>
        <v>45565</v>
      </c>
      <c r="N15" s="44" t="s">
        <v>78</v>
      </c>
      <c r="O15" s="53"/>
      <c r="P15" s="53"/>
      <c r="Q15" s="53"/>
      <c r="R15" s="53"/>
      <c r="S15" s="53"/>
      <c r="T15" s="53"/>
    </row>
    <row r="16" spans="2:20">
      <c r="C16" s="10"/>
      <c r="D16" s="10"/>
      <c r="E16" s="11"/>
      <c r="F16" s="12"/>
      <c r="G16" s="12"/>
      <c r="H16" s="45"/>
      <c r="I16" s="46"/>
      <c r="J16" s="46"/>
      <c r="K16" s="12"/>
      <c r="L16" s="12"/>
    </row>
    <row r="17" spans="3:15">
      <c r="C17" t="s">
        <v>11</v>
      </c>
      <c r="D17" s="2">
        <v>215639</v>
      </c>
      <c r="E17" s="2">
        <v>229234</v>
      </c>
      <c r="F17" s="2">
        <v>265595</v>
      </c>
      <c r="G17" s="2">
        <v>260174</v>
      </c>
      <c r="H17" s="23">
        <f ca="1">G17*(1+H36)</f>
        <v>275784.44</v>
      </c>
      <c r="I17" s="23">
        <f ca="1">H17*(1+I36)</f>
        <v>294813.56636</v>
      </c>
      <c r="J17" s="23">
        <f ca="1">I17*(1+J36)</f>
        <v>315155.70243884</v>
      </c>
      <c r="K17" s="23">
        <f ca="1">J17*(1+K36)</f>
        <v>336901.44590711995</v>
      </c>
      <c r="L17" s="23">
        <f ca="1">K17*(1+L36)</f>
        <v>360147.64567471121</v>
      </c>
      <c r="N17" t="s">
        <v>79</v>
      </c>
    </row>
    <row r="18" spans="3:15">
      <c r="C18" t="s">
        <v>14</v>
      </c>
      <c r="D18" s="2">
        <v>-131376</v>
      </c>
      <c r="E18" s="2">
        <v>-141048</v>
      </c>
      <c r="F18" s="2">
        <v>-163756</v>
      </c>
      <c r="G18" s="2">
        <v>-161782</v>
      </c>
      <c r="H18" s="23">
        <f ca="1">H19-H17</f>
        <v>-171537.92168</v>
      </c>
      <c r="I18" s="23">
        <f ca="1">I19-I17</f>
        <v>-183374.03827592</v>
      </c>
      <c r="J18" s="23">
        <f ca="1">J19-J17</f>
        <v>-196026.84691695849</v>
      </c>
      <c r="K18" s="23">
        <f ca="1">K19-K17</f>
        <v>-209552.69935422862</v>
      </c>
      <c r="L18" s="23">
        <f ca="1">L19-L17</f>
        <v>-224011.83560967038</v>
      </c>
      <c r="N18" t="s">
        <v>80</v>
      </c>
    </row>
    <row r="19" spans="3:15">
      <c r="C19" s="13" t="s">
        <v>13</v>
      </c>
      <c r="D19" s="14">
        <f>SUM(D17:D18)</f>
        <v>84263</v>
      </c>
      <c r="E19" s="14">
        <f>SUM(E17:E18)</f>
        <v>88186</v>
      </c>
      <c r="F19" s="14">
        <f>SUM(F17:F18)</f>
        <v>101839</v>
      </c>
      <c r="G19" s="14">
        <f>SUM(G17:G18)</f>
        <v>98392</v>
      </c>
      <c r="H19" s="14">
        <f ca="1">H17*H37</f>
        <v>104246.51832</v>
      </c>
      <c r="I19" s="14">
        <f ca="1">I17*I37</f>
        <v>111439.52808408</v>
      </c>
      <c r="J19" s="14">
        <f ca="1">J17*J37</f>
        <v>119128.85552188152</v>
      </c>
      <c r="K19" s="14">
        <f ca="1">K17*K37</f>
        <v>127348.74655289135</v>
      </c>
      <c r="L19" s="14">
        <f ca="1">L17*L37</f>
        <v>136135.81006504083</v>
      </c>
      <c r="N19" s="47" t="s">
        <v>81</v>
      </c>
    </row>
    <row r="20" spans="3:15">
      <c r="C20" t="s">
        <v>50</v>
      </c>
      <c r="D20" s="2">
        <v>-10045</v>
      </c>
      <c r="E20" s="2">
        <v>-11581</v>
      </c>
      <c r="F20" s="2">
        <v>-14236</v>
      </c>
      <c r="G20" s="2">
        <v>-16217</v>
      </c>
      <c r="H20" s="23">
        <f ca="1">-H38*H17</f>
        <v>-17098.635279999999</v>
      </c>
      <c r="I20" s="23">
        <f ca="1">-I38*I17</f>
        <v>-18278.441114320001</v>
      </c>
      <c r="J20" s="23">
        <f ca="1">-J38*J17</f>
        <v>-19539.653551208081</v>
      </c>
      <c r="K20" s="23">
        <f ca="1">-K38*K17</f>
        <v>-20887.889646241438</v>
      </c>
      <c r="L20" s="23">
        <f ca="1">-L38*L17</f>
        <v>-22329.154031832095</v>
      </c>
      <c r="N20" s="47" t="s">
        <v>173</v>
      </c>
    </row>
    <row r="21" spans="3:15">
      <c r="C21" t="s">
        <v>16</v>
      </c>
      <c r="D21" s="2">
        <v>-14194</v>
      </c>
      <c r="E21" s="2">
        <v>-15261</v>
      </c>
      <c r="F21" s="2">
        <v>-16705</v>
      </c>
      <c r="G21" s="2">
        <v>-18245</v>
      </c>
      <c r="H21" s="23">
        <f ca="1">-H17*H39</f>
        <v>-19304.910800000001</v>
      </c>
      <c r="I21" s="23">
        <f ca="1">-I17*I39</f>
        <v>-20636.949645200002</v>
      </c>
      <c r="J21" s="23">
        <f ca="1">-J17*J39</f>
        <v>-22060.899170718803</v>
      </c>
      <c r="K21" s="23">
        <f ca="1">-K17*K39</f>
        <v>-23583.101213498398</v>
      </c>
      <c r="L21" s="23">
        <f ca="1">-L17*L39</f>
        <v>-25210.335197229786</v>
      </c>
      <c r="N21" s="47" t="s">
        <v>175</v>
      </c>
    </row>
    <row r="22" spans="3:15">
      <c r="C22" s="13" t="s">
        <v>3</v>
      </c>
      <c r="D22" s="14">
        <f t="shared" ref="D22" si="0">D19+D20+D21</f>
        <v>60024</v>
      </c>
      <c r="E22" s="14">
        <f>E19+E20+E21</f>
        <v>61344</v>
      </c>
      <c r="F22" s="14">
        <f>F19+F20+F21</f>
        <v>70898</v>
      </c>
      <c r="G22" s="14">
        <f>G19+G20+G21</f>
        <v>63930</v>
      </c>
      <c r="H22" s="14">
        <f t="shared" ref="H22:L22" ca="1" si="1">H19+H20+H21</f>
        <v>67842.972240000003</v>
      </c>
      <c r="I22" s="14">
        <f ca="1">I19+I20+I21</f>
        <v>72524.137324559997</v>
      </c>
      <c r="J22" s="14">
        <f t="shared" ca="1" si="1"/>
        <v>77528.302799954632</v>
      </c>
      <c r="K22" s="14">
        <f t="shared" ca="1" si="1"/>
        <v>82877.755693151499</v>
      </c>
      <c r="L22" s="14">
        <f t="shared" ca="1" si="1"/>
        <v>88596.320835978957</v>
      </c>
      <c r="N22" s="13" t="s">
        <v>82</v>
      </c>
    </row>
    <row r="23" spans="3:15">
      <c r="C23" t="s">
        <v>4</v>
      </c>
      <c r="D23" s="2">
        <v>3999</v>
      </c>
      <c r="E23" s="2">
        <v>5201</v>
      </c>
      <c r="F23" s="2">
        <v>5686</v>
      </c>
      <c r="G23" s="2">
        <v>4961</v>
      </c>
      <c r="H23" s="15">
        <f ca="1">H156</f>
        <v>4386.8465720646718</v>
      </c>
      <c r="I23" s="15">
        <f t="shared" ref="I23:L23" ca="1" si="2">I156</f>
        <v>4119.4834223149901</v>
      </c>
      <c r="J23" s="15">
        <f t="shared" ca="1" si="2"/>
        <v>3871.0561664626944</v>
      </c>
      <c r="K23" s="15">
        <f t="shared" ca="1" si="2"/>
        <v>3709.7511405767555</v>
      </c>
      <c r="L23" s="15">
        <f t="shared" ca="1" si="2"/>
        <v>3643.4636987454537</v>
      </c>
      <c r="N23" t="s">
        <v>87</v>
      </c>
    </row>
    <row r="24" spans="3:15">
      <c r="C24" t="s">
        <v>17</v>
      </c>
      <c r="D24" s="2">
        <v>-1456</v>
      </c>
      <c r="E24" s="2">
        <v>-2323</v>
      </c>
      <c r="F24" s="2">
        <v>-3240</v>
      </c>
      <c r="G24" s="2">
        <v>-3576</v>
      </c>
      <c r="H24" s="15">
        <f ca="1">-H142</f>
        <v>-3568.9466179543074</v>
      </c>
      <c r="I24" s="15">
        <f t="shared" ref="I24:L24" ca="1" si="3">-I142</f>
        <v>-3636.3706179543074</v>
      </c>
      <c r="J24" s="15">
        <f t="shared" ca="1" si="3"/>
        <v>-3636.3706179543074</v>
      </c>
      <c r="K24" s="15">
        <f t="shared" ca="1" si="3"/>
        <v>-3636.3706179543074</v>
      </c>
      <c r="L24" s="15">
        <f t="shared" ca="1" si="3"/>
        <v>-3636.3706179543074</v>
      </c>
      <c r="N24" t="s">
        <v>86</v>
      </c>
    </row>
    <row r="25" spans="3:15">
      <c r="C25" t="s">
        <v>51</v>
      </c>
      <c r="D25" s="2">
        <v>-1195</v>
      </c>
      <c r="E25" s="2">
        <v>-133</v>
      </c>
      <c r="F25" s="2">
        <v>-441</v>
      </c>
      <c r="G25" s="2">
        <v>422</v>
      </c>
      <c r="H25" s="15">
        <f>G25</f>
        <v>422</v>
      </c>
      <c r="I25" s="15">
        <f>H25</f>
        <v>422</v>
      </c>
      <c r="J25" s="15">
        <f>I25</f>
        <v>422</v>
      </c>
      <c r="K25" s="15">
        <f>J25</f>
        <v>422</v>
      </c>
      <c r="L25" s="15">
        <f>K25</f>
        <v>422</v>
      </c>
      <c r="N25" t="s">
        <v>83</v>
      </c>
    </row>
    <row r="26" spans="3:15">
      <c r="C26" s="13" t="s">
        <v>12</v>
      </c>
      <c r="D26" s="14">
        <f t="shared" ref="D26" si="4">SUM(D22:D25)</f>
        <v>61372</v>
      </c>
      <c r="E26" s="14">
        <f>SUM(E22:E25)</f>
        <v>64089</v>
      </c>
      <c r="F26" s="14">
        <f>SUM(F22:F25)</f>
        <v>72903</v>
      </c>
      <c r="G26" s="14">
        <f>SUM(G22:G25)</f>
        <v>65737</v>
      </c>
      <c r="H26" s="14">
        <f ca="1">SUM(H22:H25)</f>
        <v>69082.872194110372</v>
      </c>
      <c r="I26" s="14">
        <f ca="1">SUM(I22:I25)</f>
        <v>73429.250128920685</v>
      </c>
      <c r="J26" s="14">
        <f t="shared" ref="J26:L26" ca="1" si="5">SUM(J22:J25)</f>
        <v>78184.988348463012</v>
      </c>
      <c r="K26" s="14">
        <f t="shared" ca="1" si="5"/>
        <v>83373.13621577395</v>
      </c>
      <c r="L26" s="14">
        <f t="shared" ca="1" si="5"/>
        <v>89025.413916770107</v>
      </c>
      <c r="N26" s="13" t="s">
        <v>88</v>
      </c>
      <c r="O26" s="13"/>
    </row>
    <row r="27" spans="3:15">
      <c r="C27" t="s">
        <v>15</v>
      </c>
      <c r="D27" s="2">
        <v>-15685</v>
      </c>
      <c r="E27" s="2">
        <v>-15738</v>
      </c>
      <c r="F27" s="2">
        <v>-13372</v>
      </c>
      <c r="G27" s="2">
        <v>-10481</v>
      </c>
      <c r="H27" s="23">
        <f ca="1">-H40*H26</f>
        <v>-11014.460402307237</v>
      </c>
      <c r="I27" s="23">
        <f ca="1">-I40*I26</f>
        <v>-11707.439807128676</v>
      </c>
      <c r="J27" s="23">
        <f ca="1">-J40*J26</f>
        <v>-12465.686947689139</v>
      </c>
      <c r="K27" s="23">
        <f ca="1">-K40*K26</f>
        <v>-13292.876776815596</v>
      </c>
      <c r="L27" s="23">
        <f ca="1">-L40*L26</f>
        <v>-14194.066709184593</v>
      </c>
      <c r="N27" t="s">
        <v>84</v>
      </c>
    </row>
    <row r="28" spans="3:15">
      <c r="C28" s="13" t="s">
        <v>2</v>
      </c>
      <c r="D28" s="14">
        <f t="shared" ref="D28" si="6">SUM(D26:D27)</f>
        <v>45687</v>
      </c>
      <c r="E28" s="14">
        <f t="shared" ref="E28" si="7">SUM(E26:E27)</f>
        <v>48351</v>
      </c>
      <c r="F28" s="14">
        <f t="shared" ref="F28" si="8">SUM(F26:F27)</f>
        <v>59531</v>
      </c>
      <c r="G28" s="14">
        <f t="shared" ref="G28:L28" si="9">SUM(G26:G27)</f>
        <v>55256</v>
      </c>
      <c r="H28" s="14">
        <f t="shared" ca="1" si="9"/>
        <v>58068.411791803133</v>
      </c>
      <c r="I28" s="14">
        <f t="shared" ca="1" si="9"/>
        <v>61721.810321792007</v>
      </c>
      <c r="J28" s="14">
        <f t="shared" ca="1" si="9"/>
        <v>65719.301400773867</v>
      </c>
      <c r="K28" s="14">
        <f t="shared" ca="1" si="9"/>
        <v>70080.259438958354</v>
      </c>
      <c r="L28" s="14">
        <f t="shared" ca="1" si="9"/>
        <v>74831.34720758551</v>
      </c>
      <c r="N28" s="13" t="s">
        <v>85</v>
      </c>
    </row>
    <row r="29" spans="3:15">
      <c r="C29" s="17"/>
      <c r="D29" s="15"/>
      <c r="E29" s="15"/>
      <c r="F29" s="15"/>
      <c r="G29" s="15"/>
      <c r="H29" s="15"/>
      <c r="I29" s="15"/>
      <c r="J29" s="15"/>
      <c r="K29" s="15"/>
      <c r="L29" s="15"/>
    </row>
    <row r="30" spans="3:15">
      <c r="C30" s="26" t="s">
        <v>47</v>
      </c>
      <c r="D30" s="2">
        <v>10505</v>
      </c>
      <c r="E30" s="2">
        <v>10157</v>
      </c>
      <c r="F30" s="2">
        <v>10903</v>
      </c>
      <c r="G30" s="2">
        <v>12547</v>
      </c>
      <c r="H30" s="15">
        <f ca="1">H106</f>
        <v>11808.331069482967</v>
      </c>
      <c r="I30" s="15">
        <f ca="1">I106</f>
        <v>12418.253260687266</v>
      </c>
      <c r="J30" s="15">
        <f ca="1">J106</f>
        <v>13558.159134874686</v>
      </c>
      <c r="K30" s="15">
        <f ca="1">K106</f>
        <v>14796.248715925842</v>
      </c>
      <c r="L30" s="15">
        <f ca="1">L106</f>
        <v>16140.644263520915</v>
      </c>
      <c r="N30" t="s">
        <v>128</v>
      </c>
    </row>
    <row r="31" spans="3:15">
      <c r="C31" s="25" t="s">
        <v>45</v>
      </c>
      <c r="D31" s="14">
        <f t="shared" ref="D31" si="10">D22+D30</f>
        <v>70529</v>
      </c>
      <c r="E31" s="14">
        <f>E22+E30</f>
        <v>71501</v>
      </c>
      <c r="F31" s="14">
        <f>F22+F30</f>
        <v>81801</v>
      </c>
      <c r="G31" s="14">
        <f>G22+G30</f>
        <v>76477</v>
      </c>
      <c r="H31" s="14">
        <f t="shared" ref="H31:L31" ca="1" si="11">H22+H30</f>
        <v>79651.303309482973</v>
      </c>
      <c r="I31" s="14">
        <f t="shared" ca="1" si="11"/>
        <v>84942.390585247267</v>
      </c>
      <c r="J31" s="14">
        <f t="shared" ca="1" si="11"/>
        <v>91086.46193482932</v>
      </c>
      <c r="K31" s="14">
        <f t="shared" ca="1" si="11"/>
        <v>97674.004409077344</v>
      </c>
      <c r="L31" s="14">
        <f t="shared" ca="1" si="11"/>
        <v>104736.96509949987</v>
      </c>
      <c r="N31" s="13" t="s">
        <v>89</v>
      </c>
    </row>
    <row r="32" spans="3:15">
      <c r="C32" s="26" t="s">
        <v>71</v>
      </c>
      <c r="D32" s="2">
        <v>4210</v>
      </c>
      <c r="E32" s="2">
        <v>4840</v>
      </c>
      <c r="F32" s="2">
        <v>5340</v>
      </c>
      <c r="G32" s="2">
        <v>6068</v>
      </c>
      <c r="H32" s="15">
        <f ca="1">G32*(1+H36)</f>
        <v>6432.08</v>
      </c>
      <c r="I32" s="15">
        <f ca="1">H32*(1+I36)</f>
        <v>6875.8935199999996</v>
      </c>
      <c r="J32" s="15">
        <f ca="1">I32*(1+J36)</f>
        <v>7350.3301728799988</v>
      </c>
      <c r="K32" s="15">
        <f ca="1">J32*(1+K36)</f>
        <v>7857.5029548087186</v>
      </c>
      <c r="L32" s="15">
        <f ca="1">K32*(1+L36)</f>
        <v>8399.6706586905202</v>
      </c>
      <c r="N32" t="s">
        <v>91</v>
      </c>
    </row>
    <row r="33" spans="3:21">
      <c r="C33" s="25" t="s">
        <v>69</v>
      </c>
      <c r="D33" s="14">
        <f t="shared" ref="D33" si="12">SUM(D31:D32)</f>
        <v>74739</v>
      </c>
      <c r="E33" s="14">
        <f>SUM(E31:E32)</f>
        <v>76341</v>
      </c>
      <c r="F33" s="14">
        <f>SUM(F31:F32)</f>
        <v>87141</v>
      </c>
      <c r="G33" s="14">
        <f>SUM(G31:G32)</f>
        <v>82545</v>
      </c>
      <c r="H33" s="14">
        <f t="shared" ref="H33:L33" ca="1" si="13">SUM(H31:H32)</f>
        <v>86083.383309482975</v>
      </c>
      <c r="I33" s="14">
        <f t="shared" ca="1" si="13"/>
        <v>91818.284105247265</v>
      </c>
      <c r="J33" s="14">
        <f t="shared" ca="1" si="13"/>
        <v>98436.79210770932</v>
      </c>
      <c r="K33" s="14">
        <f t="shared" ca="1" si="13"/>
        <v>105531.50736388606</v>
      </c>
      <c r="L33" s="14">
        <f t="shared" ca="1" si="13"/>
        <v>113136.63575819039</v>
      </c>
      <c r="N33" s="13" t="s">
        <v>90</v>
      </c>
    </row>
    <row r="34" spans="3:21">
      <c r="C34" s="17"/>
      <c r="H34" s="35"/>
    </row>
    <row r="35" spans="3:21">
      <c r="C35" s="16" t="s">
        <v>18</v>
      </c>
    </row>
    <row r="36" spans="3:21">
      <c r="C36" s="17" t="s">
        <v>1</v>
      </c>
      <c r="D36" s="18"/>
      <c r="E36" s="18">
        <f>E17/D17-1</f>
        <v>6.304518199398057E-2</v>
      </c>
      <c r="F36" s="18">
        <f>F17/E17-1</f>
        <v>0.15861957650261305</v>
      </c>
      <c r="G36" s="18">
        <f>G17/F17-1</f>
        <v>-2.04107758052674E-2</v>
      </c>
      <c r="H36" s="18">
        <f ca="1">H183</f>
        <v>0.06</v>
      </c>
      <c r="I36" s="18">
        <f t="shared" ref="I36:L36" ca="1" si="14">I183</f>
        <v>6.9000000000000006E-2</v>
      </c>
      <c r="J36" s="18">
        <f t="shared" ca="1" si="14"/>
        <v>6.9000000000000006E-2</v>
      </c>
      <c r="K36" s="18">
        <f t="shared" ca="1" si="14"/>
        <v>6.9000000000000006E-2</v>
      </c>
      <c r="L36" s="18">
        <f t="shared" ca="1" si="14"/>
        <v>6.9000000000000006E-2</v>
      </c>
      <c r="N36" t="s">
        <v>194</v>
      </c>
      <c r="P36" s="19"/>
      <c r="Q36" s="19"/>
      <c r="R36" s="19"/>
      <c r="S36" s="19"/>
      <c r="T36" s="19"/>
      <c r="U36" s="19"/>
    </row>
    <row r="37" spans="3:21">
      <c r="C37" s="17" t="s">
        <v>171</v>
      </c>
      <c r="D37" s="18">
        <f>D19/D17</f>
        <v>0.39075955648097049</v>
      </c>
      <c r="E37" s="18">
        <f>E19/E17</f>
        <v>0.38469860491899105</v>
      </c>
      <c r="F37" s="18">
        <f>F19/F17</f>
        <v>0.38343718820007905</v>
      </c>
      <c r="G37" s="18">
        <f>G19/G17</f>
        <v>0.37817768109034722</v>
      </c>
      <c r="H37" s="18">
        <f t="shared" ref="H37:L37" ca="1" si="15">H184</f>
        <v>0.378</v>
      </c>
      <c r="I37" s="18">
        <f t="shared" ca="1" si="15"/>
        <v>0.378</v>
      </c>
      <c r="J37" s="18">
        <f t="shared" ca="1" si="15"/>
        <v>0.378</v>
      </c>
      <c r="K37" s="18">
        <f t="shared" ca="1" si="15"/>
        <v>0.378</v>
      </c>
      <c r="L37" s="18">
        <f t="shared" ca="1" si="15"/>
        <v>0.378</v>
      </c>
      <c r="N37" t="s">
        <v>195</v>
      </c>
      <c r="P37" s="19"/>
      <c r="Q37" s="19"/>
      <c r="R37" s="19"/>
      <c r="S37" s="19"/>
      <c r="T37" s="19"/>
      <c r="U37" s="19"/>
    </row>
    <row r="38" spans="3:21">
      <c r="C38" s="17" t="s">
        <v>172</v>
      </c>
      <c r="D38" s="18">
        <f>-D20/D17</f>
        <v>4.6582482760539605E-2</v>
      </c>
      <c r="E38" s="18">
        <f>-E20/E17</f>
        <v>5.0520428906706681E-2</v>
      </c>
      <c r="F38" s="18">
        <f>-F20/F17</f>
        <v>5.3600406634161032E-2</v>
      </c>
      <c r="G38" s="18">
        <f>-G20/G17</f>
        <v>6.233136285716482E-2</v>
      </c>
      <c r="H38" s="18">
        <f t="shared" ref="H38:L38" ca="1" si="16">H185</f>
        <v>6.2E-2</v>
      </c>
      <c r="I38" s="18">
        <f t="shared" ca="1" si="16"/>
        <v>6.2E-2</v>
      </c>
      <c r="J38" s="18">
        <f t="shared" ca="1" si="16"/>
        <v>6.2E-2</v>
      </c>
      <c r="K38" s="18">
        <f t="shared" ca="1" si="16"/>
        <v>6.2E-2</v>
      </c>
      <c r="L38" s="18">
        <f t="shared" ca="1" si="16"/>
        <v>6.2E-2</v>
      </c>
      <c r="N38" t="s">
        <v>195</v>
      </c>
      <c r="P38" s="19"/>
      <c r="Q38" s="19"/>
      <c r="R38" s="19"/>
      <c r="S38" s="19"/>
      <c r="T38" s="19"/>
      <c r="U38" s="19"/>
    </row>
    <row r="39" spans="3:21">
      <c r="C39" s="17" t="s">
        <v>174</v>
      </c>
      <c r="D39" s="18">
        <f>-D21/D17</f>
        <v>6.5822972653369755E-2</v>
      </c>
      <c r="E39" s="18">
        <f>-E21/E17</f>
        <v>6.6573893924984945E-2</v>
      </c>
      <c r="F39" s="18">
        <f>-F21/F17</f>
        <v>6.2896515371147807E-2</v>
      </c>
      <c r="G39" s="18">
        <f>-G21/G17</f>
        <v>7.0126146348213125E-2</v>
      </c>
      <c r="H39" s="18">
        <f t="shared" ref="H39:L39" ca="1" si="17">H186</f>
        <v>7.0000000000000007E-2</v>
      </c>
      <c r="I39" s="18">
        <f t="shared" ca="1" si="17"/>
        <v>7.0000000000000007E-2</v>
      </c>
      <c r="J39" s="18">
        <f t="shared" ca="1" si="17"/>
        <v>7.0000000000000007E-2</v>
      </c>
      <c r="K39" s="18">
        <f t="shared" ca="1" si="17"/>
        <v>7.0000000000000007E-2</v>
      </c>
      <c r="L39" s="18">
        <f t="shared" ca="1" si="17"/>
        <v>7.0000000000000007E-2</v>
      </c>
      <c r="N39" t="s">
        <v>195</v>
      </c>
      <c r="P39" s="19"/>
      <c r="Q39" s="19"/>
      <c r="R39" s="19"/>
      <c r="S39" s="19"/>
      <c r="T39" s="19"/>
      <c r="U39" s="19"/>
    </row>
    <row r="40" spans="3:21">
      <c r="C40" s="17" t="s">
        <v>0</v>
      </c>
      <c r="D40" s="18">
        <f>-(D27/D26)</f>
        <v>0.25557257381216192</v>
      </c>
      <c r="E40" s="18">
        <f>-(E27/E26)</f>
        <v>0.24556476150353415</v>
      </c>
      <c r="F40" s="18">
        <f>-(F27/F26)</f>
        <v>0.18342180705869443</v>
      </c>
      <c r="G40" s="18">
        <f>-(G27/G26)</f>
        <v>0.15943836804235059</v>
      </c>
      <c r="H40" s="19">
        <f>G40</f>
        <v>0.15943836804235059</v>
      </c>
      <c r="I40" s="19">
        <f t="shared" ref="I40" si="18">H40</f>
        <v>0.15943836804235059</v>
      </c>
      <c r="J40" s="19">
        <f t="shared" ref="J40" si="19">I40</f>
        <v>0.15943836804235059</v>
      </c>
      <c r="K40" s="19">
        <f t="shared" ref="K40" si="20">J40</f>
        <v>0.15943836804235059</v>
      </c>
      <c r="L40" s="19">
        <f t="shared" ref="L40" si="21">K40</f>
        <v>0.15943836804235059</v>
      </c>
      <c r="N40" t="s">
        <v>195</v>
      </c>
      <c r="P40" s="19"/>
      <c r="Q40" s="19"/>
      <c r="R40" s="19"/>
      <c r="S40" s="19"/>
      <c r="T40" s="19"/>
      <c r="U40" s="19"/>
    </row>
    <row r="41" spans="3:21">
      <c r="C41" s="17"/>
      <c r="D41" s="17"/>
      <c r="H41" s="35"/>
    </row>
    <row r="42" spans="3:21">
      <c r="C42" s="4" t="s">
        <v>20</v>
      </c>
      <c r="D42" s="4"/>
      <c r="E42" s="9"/>
      <c r="F42" s="9"/>
      <c r="G42" s="9"/>
      <c r="H42" s="5"/>
      <c r="I42" s="5"/>
      <c r="J42" s="5"/>
      <c r="K42" s="5"/>
      <c r="L42" s="5"/>
    </row>
    <row r="43" spans="3:21">
      <c r="C43" s="24" t="str">
        <f>C14</f>
        <v xml:space="preserve">Fiscal year  </v>
      </c>
      <c r="D43" s="24"/>
      <c r="E43" s="20">
        <f t="shared" ref="E43" si="22">E14</f>
        <v>2017</v>
      </c>
      <c r="F43" s="20">
        <f t="shared" ref="F43:L44" si="23">F14</f>
        <v>2018</v>
      </c>
      <c r="G43" s="20">
        <f t="shared" si="23"/>
        <v>2019</v>
      </c>
      <c r="H43" s="21">
        <f t="shared" si="23"/>
        <v>2020</v>
      </c>
      <c r="I43" s="21">
        <f t="shared" si="23"/>
        <v>2021</v>
      </c>
      <c r="J43" s="21">
        <f t="shared" si="23"/>
        <v>2022</v>
      </c>
      <c r="K43" s="21">
        <f t="shared" si="23"/>
        <v>2023</v>
      </c>
      <c r="L43" s="21">
        <f t="shared" si="23"/>
        <v>2024</v>
      </c>
    </row>
    <row r="44" spans="3:21">
      <c r="C44" s="5" t="str">
        <f>C15</f>
        <v>Fiscal year end date</v>
      </c>
      <c r="D44" s="5"/>
      <c r="E44" s="22">
        <f t="shared" ref="E44" si="24">E15</f>
        <v>43008</v>
      </c>
      <c r="F44" s="22">
        <f t="shared" si="23"/>
        <v>43372</v>
      </c>
      <c r="G44" s="22">
        <f t="shared" si="23"/>
        <v>43737</v>
      </c>
      <c r="H44" s="22">
        <f t="shared" si="23"/>
        <v>44104</v>
      </c>
      <c r="I44" s="22">
        <f t="shared" si="23"/>
        <v>44469</v>
      </c>
      <c r="J44" s="22">
        <f t="shared" si="23"/>
        <v>44834</v>
      </c>
      <c r="K44" s="22">
        <f t="shared" si="23"/>
        <v>45199</v>
      </c>
      <c r="L44" s="22">
        <f t="shared" si="23"/>
        <v>45565</v>
      </c>
    </row>
    <row r="45" spans="3:21">
      <c r="C45" t="s">
        <v>123</v>
      </c>
      <c r="E45" s="2">
        <f>20289+53892+194714</f>
        <v>268895</v>
      </c>
      <c r="F45" s="2">
        <f>25913+40388+170799</f>
        <v>237100</v>
      </c>
      <c r="G45" s="2">
        <f>48844+51713+105341</f>
        <v>205898</v>
      </c>
      <c r="H45" s="15">
        <f ca="1">H90+G45</f>
        <v>194727.25772280112</v>
      </c>
      <c r="I45" s="15">
        <f ca="1">I90+H45</f>
        <v>181481.27399546286</v>
      </c>
      <c r="J45" s="15">
        <f ca="1">J90+I45</f>
        <v>172039.83709702062</v>
      </c>
      <c r="K45" s="15">
        <f ca="1">K90+J45</f>
        <v>166750.2214031397</v>
      </c>
      <c r="L45" s="15">
        <f ca="1">L90+K45</f>
        <v>165986.189441194</v>
      </c>
      <c r="N45" t="s">
        <v>109</v>
      </c>
    </row>
    <row r="46" spans="3:21">
      <c r="C46" t="s">
        <v>52</v>
      </c>
      <c r="E46" s="2">
        <v>17874</v>
      </c>
      <c r="F46" s="2">
        <v>23186</v>
      </c>
      <c r="G46" s="2">
        <v>22926</v>
      </c>
      <c r="H46" s="15">
        <f ca="1">G46*(1+H36)</f>
        <v>24301.56</v>
      </c>
      <c r="I46" s="15">
        <f ca="1">H46*(1+I36)</f>
        <v>25978.36764</v>
      </c>
      <c r="J46" s="15">
        <f ca="1">I46*(1+J36)</f>
        <v>27770.875007160001</v>
      </c>
      <c r="K46" s="15">
        <f ca="1">J46*(1+K36)</f>
        <v>29687.06538265404</v>
      </c>
      <c r="L46" s="15">
        <f ca="1">K46*(1+L36)</f>
        <v>31735.472894057166</v>
      </c>
      <c r="N46" t="s">
        <v>95</v>
      </c>
    </row>
    <row r="47" spans="3:21">
      <c r="C47" t="s">
        <v>53</v>
      </c>
      <c r="E47" s="2">
        <v>4855</v>
      </c>
      <c r="F47" s="2">
        <v>3956</v>
      </c>
      <c r="G47" s="2">
        <v>4106</v>
      </c>
      <c r="H47" s="15">
        <f ca="1">G47*H18/G18</f>
        <v>4353.6036544119861</v>
      </c>
      <c r="I47" s="15">
        <f ca="1">H47*I18/H18</f>
        <v>4654.0023065664127</v>
      </c>
      <c r="J47" s="15">
        <f ca="1">I47*J18/I18</f>
        <v>4975.1284657194956</v>
      </c>
      <c r="K47" s="15">
        <f ca="1">J47*K18/J18</f>
        <v>5318.4123298541408</v>
      </c>
      <c r="L47" s="15">
        <f ca="1">K47*L18/K18</f>
        <v>5685.3827806140762</v>
      </c>
      <c r="N47" t="s">
        <v>96</v>
      </c>
    </row>
    <row r="48" spans="3:21">
      <c r="C48" t="s">
        <v>99</v>
      </c>
      <c r="E48" s="2">
        <f>17799+13936</f>
        <v>31735</v>
      </c>
      <c r="F48" s="2">
        <f>25809+12087</f>
        <v>37896</v>
      </c>
      <c r="G48" s="2">
        <f>12352+22878</f>
        <v>35230</v>
      </c>
      <c r="H48" s="15">
        <f ca="1">G48*(1+H36)</f>
        <v>37343.800000000003</v>
      </c>
      <c r="I48" s="15">
        <f ca="1">H48*(1+I36)</f>
        <v>39920.522199999999</v>
      </c>
      <c r="J48" s="15">
        <f ca="1">I48*(1+J36)</f>
        <v>42675.038231799997</v>
      </c>
      <c r="K48" s="15">
        <f ca="1">J48*(1+K36)</f>
        <v>45619.615869794194</v>
      </c>
      <c r="L48" s="15">
        <f ca="1">K48*(1+L36)</f>
        <v>48767.369364809994</v>
      </c>
      <c r="N48" t="s">
        <v>95</v>
      </c>
      <c r="O48" s="15"/>
    </row>
    <row r="49" spans="3:15">
      <c r="C49" t="s">
        <v>21</v>
      </c>
      <c r="E49" s="2">
        <v>33783</v>
      </c>
      <c r="F49" s="2">
        <v>41304</v>
      </c>
      <c r="G49" s="2">
        <v>37378</v>
      </c>
      <c r="H49" s="15">
        <f>H99</f>
        <v>39817.318930517038</v>
      </c>
      <c r="I49" s="15">
        <f t="shared" ref="I49:L49" si="25">I99</f>
        <v>42050.931249829766</v>
      </c>
      <c r="J49" s="15">
        <f t="shared" ca="1" si="25"/>
        <v>44155.616419975078</v>
      </c>
      <c r="K49" s="15">
        <f t="shared" ca="1" si="25"/>
        <v>46102.948266115614</v>
      </c>
      <c r="L49" s="15">
        <f t="shared" ca="1" si="25"/>
        <v>47861.191623443658</v>
      </c>
      <c r="N49" t="s">
        <v>97</v>
      </c>
    </row>
    <row r="50" spans="3:15">
      <c r="C50" t="s">
        <v>54</v>
      </c>
      <c r="E50" s="2">
        <v>18177</v>
      </c>
      <c r="F50" s="2">
        <v>22283</v>
      </c>
      <c r="G50" s="2">
        <v>32978</v>
      </c>
      <c r="H50" s="15">
        <f ca="1">G50*(1+H36)</f>
        <v>34956.68</v>
      </c>
      <c r="I50" s="15">
        <f ca="1">H50*(1+I36)</f>
        <v>37368.690920000001</v>
      </c>
      <c r="J50" s="15">
        <f ca="1">I50*(1+J36)</f>
        <v>39947.130593479997</v>
      </c>
      <c r="K50" s="15">
        <f ca="1">J50*(1+K36)</f>
        <v>42703.482604430115</v>
      </c>
      <c r="L50" s="15">
        <f ca="1">K50*(1+L36)</f>
        <v>45650.022904135789</v>
      </c>
      <c r="N50" t="s">
        <v>95</v>
      </c>
    </row>
    <row r="51" spans="3:15">
      <c r="C51" s="25" t="s">
        <v>22</v>
      </c>
      <c r="D51" s="25"/>
      <c r="E51" s="14">
        <f t="shared" ref="E51:F51" si="26">SUM(E45:E50)</f>
        <v>375319</v>
      </c>
      <c r="F51" s="14">
        <f t="shared" si="26"/>
        <v>365725</v>
      </c>
      <c r="G51" s="14">
        <f t="shared" ref="G51:L51" si="27">SUM(G45:G50)</f>
        <v>338516</v>
      </c>
      <c r="H51" s="27">
        <f t="shared" ca="1" si="27"/>
        <v>335500.2203077302</v>
      </c>
      <c r="I51" s="27">
        <f t="shared" ca="1" si="27"/>
        <v>331453.78831185907</v>
      </c>
      <c r="J51" s="27">
        <f t="shared" ca="1" si="27"/>
        <v>331563.62581515522</v>
      </c>
      <c r="K51" s="27">
        <f t="shared" ca="1" si="27"/>
        <v>336181.74585598783</v>
      </c>
      <c r="L51" s="27">
        <f t="shared" ca="1" si="27"/>
        <v>345685.62900825473</v>
      </c>
    </row>
    <row r="52" spans="3:15">
      <c r="C52" s="26"/>
      <c r="D52" s="26"/>
      <c r="E52" s="15"/>
      <c r="F52" s="15"/>
      <c r="G52" s="15"/>
      <c r="H52" s="15"/>
      <c r="I52" s="15"/>
      <c r="J52" s="15"/>
      <c r="K52" s="15"/>
      <c r="L52" s="15"/>
    </row>
    <row r="53" spans="3:15">
      <c r="C53" s="26" t="s">
        <v>55</v>
      </c>
      <c r="D53" s="26"/>
      <c r="E53" s="2">
        <v>44242</v>
      </c>
      <c r="F53" s="2">
        <v>55888</v>
      </c>
      <c r="G53" s="2">
        <v>46236</v>
      </c>
      <c r="H53" s="15">
        <f ca="1">G53*H18/G18</f>
        <v>49024.164287723484</v>
      </c>
      <c r="I53" s="15">
        <f t="shared" ref="I53:L53" ca="1" si="28">H53*I18/H18</f>
        <v>52406.8316235764</v>
      </c>
      <c r="J53" s="15">
        <f t="shared" ca="1" si="28"/>
        <v>56022.90300560317</v>
      </c>
      <c r="K53" s="15">
        <f t="shared" ca="1" si="28"/>
        <v>59888.483312989789</v>
      </c>
      <c r="L53" s="15">
        <f t="shared" ca="1" si="28"/>
        <v>64020.788661586084</v>
      </c>
      <c r="N53" t="s">
        <v>96</v>
      </c>
    </row>
    <row r="54" spans="3:15">
      <c r="C54" s="26" t="s">
        <v>108</v>
      </c>
      <c r="D54" s="26"/>
      <c r="E54" s="2">
        <v>30551</v>
      </c>
      <c r="F54" s="2">
        <v>33327</v>
      </c>
      <c r="G54" s="2">
        <v>37720</v>
      </c>
      <c r="H54" s="15">
        <f ca="1">G54*(1+H36)</f>
        <v>39983.200000000004</v>
      </c>
      <c r="I54" s="15">
        <f t="shared" ref="I54:L54" ca="1" si="29">H54*(1+I36)</f>
        <v>42742.040800000002</v>
      </c>
      <c r="J54" s="15">
        <f t="shared" ca="1" si="29"/>
        <v>45691.241615200001</v>
      </c>
      <c r="K54" s="15">
        <f t="shared" ca="1" si="29"/>
        <v>48843.937286648797</v>
      </c>
      <c r="L54" s="15">
        <f t="shared" ca="1" si="29"/>
        <v>52214.168959427559</v>
      </c>
      <c r="N54" t="s">
        <v>95</v>
      </c>
    </row>
    <row r="55" spans="3:15">
      <c r="C55" s="26" t="s">
        <v>192</v>
      </c>
      <c r="D55" s="26"/>
      <c r="E55" s="2">
        <f>7548+2836</f>
        <v>10384</v>
      </c>
      <c r="F55" s="2">
        <v>5966</v>
      </c>
      <c r="G55" s="2">
        <v>5522</v>
      </c>
      <c r="H55" s="15">
        <f ca="1">G55*(1+H36)</f>
        <v>5853.3200000000006</v>
      </c>
      <c r="I55" s="15">
        <f t="shared" ref="I55:L55" ca="1" si="30">H55*(1+I36)</f>
        <v>6257.1990800000003</v>
      </c>
      <c r="J55" s="15">
        <f t="shared" ca="1" si="30"/>
        <v>6688.9458165200003</v>
      </c>
      <c r="K55" s="15">
        <f t="shared" ca="1" si="30"/>
        <v>7150.4830778598798</v>
      </c>
      <c r="L55" s="15">
        <f t="shared" ca="1" si="30"/>
        <v>7643.8664102322109</v>
      </c>
      <c r="N55" t="s">
        <v>95</v>
      </c>
      <c r="O55" s="15"/>
    </row>
    <row r="56" spans="3:15">
      <c r="C56" s="26" t="s">
        <v>57</v>
      </c>
      <c r="D56" s="26"/>
      <c r="E56" s="2">
        <v>11977</v>
      </c>
      <c r="F56" s="2">
        <v>11964</v>
      </c>
      <c r="G56" s="2">
        <v>5980</v>
      </c>
      <c r="H56" s="15">
        <f ca="1">H135</f>
        <v>12000</v>
      </c>
      <c r="I56" s="15">
        <f ca="1">I135</f>
        <v>12000</v>
      </c>
      <c r="J56" s="15">
        <f ca="1">J135</f>
        <v>12000</v>
      </c>
      <c r="K56" s="15">
        <f ca="1">K135</f>
        <v>12000</v>
      </c>
      <c r="L56" s="15">
        <f ca="1">L135</f>
        <v>12000</v>
      </c>
      <c r="N56" t="s">
        <v>149</v>
      </c>
    </row>
    <row r="57" spans="3:15">
      <c r="C57" s="26" t="s">
        <v>113</v>
      </c>
      <c r="D57" s="26"/>
      <c r="E57" s="2">
        <f>6496+97207</f>
        <v>103703</v>
      </c>
      <c r="F57" s="2">
        <f>8784+93735</f>
        <v>102519</v>
      </c>
      <c r="G57" s="2">
        <f>10260+91807</f>
        <v>102067</v>
      </c>
      <c r="H57" s="15">
        <f>G57</f>
        <v>102067</v>
      </c>
      <c r="I57" s="15">
        <f t="shared" ref="I57:L57" si="31">H57</f>
        <v>102067</v>
      </c>
      <c r="J57" s="15">
        <f t="shared" si="31"/>
        <v>102067</v>
      </c>
      <c r="K57" s="15">
        <f t="shared" si="31"/>
        <v>102067</v>
      </c>
      <c r="L57" s="15">
        <f t="shared" si="31"/>
        <v>102067</v>
      </c>
      <c r="N57" t="s">
        <v>92</v>
      </c>
    </row>
    <row r="58" spans="3:15" ht="15.75" customHeight="1">
      <c r="C58" s="26" t="s">
        <v>56</v>
      </c>
      <c r="D58" s="26"/>
      <c r="E58" s="2">
        <v>40415</v>
      </c>
      <c r="F58" s="2">
        <v>48914</v>
      </c>
      <c r="G58" s="2">
        <v>50503</v>
      </c>
      <c r="H58" s="15">
        <f ca="1">G58*(1+H36)</f>
        <v>53533.18</v>
      </c>
      <c r="I58" s="15">
        <f t="shared" ref="I58:L58" ca="1" si="32">H58*(1+I36)</f>
        <v>57226.969420000001</v>
      </c>
      <c r="J58" s="15">
        <f t="shared" ca="1" si="32"/>
        <v>61175.630309979999</v>
      </c>
      <c r="K58" s="15">
        <f t="shared" ca="1" si="32"/>
        <v>65396.748801368616</v>
      </c>
      <c r="L58" s="15">
        <f t="shared" ca="1" si="32"/>
        <v>69909.124468663053</v>
      </c>
      <c r="N58" t="s">
        <v>95</v>
      </c>
    </row>
    <row r="59" spans="3:15">
      <c r="C59" s="25" t="s">
        <v>23</v>
      </c>
      <c r="D59" s="25"/>
      <c r="E59" s="14">
        <f t="shared" ref="E59:F59" si="33">SUM(E53:E58)</f>
        <v>241272</v>
      </c>
      <c r="F59" s="14">
        <f t="shared" si="33"/>
        <v>258578</v>
      </c>
      <c r="G59" s="14">
        <f t="shared" ref="G59:L59" si="34">SUM(G53:G58)</f>
        <v>248028</v>
      </c>
      <c r="H59" s="27">
        <f t="shared" ca="1" si="34"/>
        <v>262460.8642877235</v>
      </c>
      <c r="I59" s="27">
        <f t="shared" ca="1" si="34"/>
        <v>272700.04092357639</v>
      </c>
      <c r="J59" s="27">
        <f t="shared" ca="1" si="34"/>
        <v>283645.72074730316</v>
      </c>
      <c r="K59" s="27">
        <f t="shared" ca="1" si="34"/>
        <v>295346.65247886709</v>
      </c>
      <c r="L59" s="27">
        <f t="shared" ca="1" si="34"/>
        <v>307854.9484999089</v>
      </c>
    </row>
    <row r="60" spans="3:15">
      <c r="C60" s="25"/>
      <c r="D60" s="25"/>
      <c r="E60" s="14"/>
      <c r="F60" s="14"/>
      <c r="G60" s="14"/>
      <c r="H60" s="15"/>
      <c r="I60" s="15"/>
      <c r="J60" s="15"/>
      <c r="K60" s="15"/>
      <c r="L60" s="15"/>
    </row>
    <row r="61" spans="3:15">
      <c r="C61" s="26" t="s">
        <v>58</v>
      </c>
      <c r="D61" s="26"/>
      <c r="E61" s="2">
        <v>35867</v>
      </c>
      <c r="F61" s="2">
        <v>40201</v>
      </c>
      <c r="G61" s="2">
        <v>45174</v>
      </c>
      <c r="H61" s="15">
        <f ca="1">G61+H32</f>
        <v>51606.080000000002</v>
      </c>
      <c r="I61" s="15">
        <f t="shared" ref="I61:L61" ca="1" si="35">H61+I32</f>
        <v>58481.97352</v>
      </c>
      <c r="J61" s="15">
        <f t="shared" ca="1" si="35"/>
        <v>65832.303692879999</v>
      </c>
      <c r="K61" s="15">
        <f t="shared" ca="1" si="35"/>
        <v>73689.806647688718</v>
      </c>
      <c r="L61" s="15">
        <f t="shared" ca="1" si="35"/>
        <v>82089.477306379238</v>
      </c>
      <c r="N61" t="s">
        <v>124</v>
      </c>
    </row>
    <row r="62" spans="3:15" ht="15.75" customHeight="1">
      <c r="C62" s="26" t="s">
        <v>43</v>
      </c>
      <c r="D62" s="26"/>
      <c r="E62" s="23">
        <f>98330</f>
        <v>98330</v>
      </c>
      <c r="F62" s="2">
        <v>70400</v>
      </c>
      <c r="G62" s="2">
        <v>45898</v>
      </c>
      <c r="H62" s="15">
        <f ca="1">H119</f>
        <v>22017.276020006655</v>
      </c>
      <c r="I62" s="15">
        <f t="shared" ref="I62:L62" ca="1" si="36">I119</f>
        <v>855.77386828267481</v>
      </c>
      <c r="J62" s="15">
        <f t="shared" ca="1" si="36"/>
        <v>-17330.39862502797</v>
      </c>
      <c r="K62" s="15">
        <f t="shared" ca="1" si="36"/>
        <v>-32270.713270567998</v>
      </c>
      <c r="L62" s="15">
        <f t="shared" ca="1" si="36"/>
        <v>-43674.796798033451</v>
      </c>
      <c r="N62" t="s">
        <v>98</v>
      </c>
      <c r="O62" s="15"/>
    </row>
    <row r="63" spans="3:15" ht="15.75" customHeight="1">
      <c r="C63" s="26" t="s">
        <v>112</v>
      </c>
      <c r="D63" s="26"/>
      <c r="E63" s="2">
        <v>-150</v>
      </c>
      <c r="F63" s="2">
        <v>-3454</v>
      </c>
      <c r="G63" s="2">
        <v>-584</v>
      </c>
      <c r="H63" s="15">
        <f>G63</f>
        <v>-584</v>
      </c>
      <c r="I63" s="15">
        <f>H63</f>
        <v>-584</v>
      </c>
      <c r="J63" s="15">
        <f>I63</f>
        <v>-584</v>
      </c>
      <c r="K63" s="15">
        <f>J63</f>
        <v>-584</v>
      </c>
      <c r="L63" s="15">
        <f>K63</f>
        <v>-584</v>
      </c>
      <c r="N63" t="s">
        <v>92</v>
      </c>
    </row>
    <row r="64" spans="3:15">
      <c r="C64" s="25" t="s">
        <v>24</v>
      </c>
      <c r="D64" s="25"/>
      <c r="E64" s="27">
        <f t="shared" ref="E64:F64" si="37">SUM(E61:E63)</f>
        <v>134047</v>
      </c>
      <c r="F64" s="27">
        <f t="shared" si="37"/>
        <v>107147</v>
      </c>
      <c r="G64" s="27">
        <f t="shared" ref="G64:L64" si="38">SUM(G61:G63)</f>
        <v>90488</v>
      </c>
      <c r="H64" s="27">
        <f t="shared" ca="1" si="38"/>
        <v>73039.356020006657</v>
      </c>
      <c r="I64" s="27">
        <f t="shared" ca="1" si="38"/>
        <v>58753.747388282674</v>
      </c>
      <c r="J64" s="27">
        <f t="shared" ca="1" si="38"/>
        <v>47917.905067852029</v>
      </c>
      <c r="K64" s="27">
        <f t="shared" ca="1" si="38"/>
        <v>40835.09337712072</v>
      </c>
      <c r="L64" s="27">
        <f t="shared" ca="1" si="38"/>
        <v>37830.680508345788</v>
      </c>
    </row>
    <row r="65" spans="3:14">
      <c r="E65" s="15"/>
      <c r="F65" s="15"/>
      <c r="G65" s="15"/>
    </row>
    <row r="66" spans="3:14">
      <c r="C66" s="10" t="s">
        <v>25</v>
      </c>
      <c r="D66" s="10"/>
      <c r="E66" s="28">
        <f>ROUND(E51-E59-E64,3)</f>
        <v>0</v>
      </c>
      <c r="F66" s="28">
        <f>ROUND(F51-F59-F64,3)</f>
        <v>0</v>
      </c>
      <c r="G66" s="28">
        <f t="shared" ref="G66:L66" si="39">ROUND(G51-G59-G64,3)</f>
        <v>0</v>
      </c>
      <c r="H66" s="28">
        <f t="shared" ca="1" si="39"/>
        <v>0</v>
      </c>
      <c r="I66" s="28">
        <f t="shared" ca="1" si="39"/>
        <v>0</v>
      </c>
      <c r="J66" s="28">
        <f t="shared" ca="1" si="39"/>
        <v>0</v>
      </c>
      <c r="K66" s="28">
        <f t="shared" ca="1" si="39"/>
        <v>0</v>
      </c>
      <c r="L66" s="28">
        <f t="shared" ca="1" si="39"/>
        <v>0</v>
      </c>
    </row>
    <row r="67" spans="3:14">
      <c r="F67" s="15"/>
      <c r="G67" s="15"/>
      <c r="I67" s="15"/>
      <c r="J67" s="15"/>
      <c r="K67" s="15"/>
      <c r="L67" s="15"/>
    </row>
    <row r="68" spans="3:14">
      <c r="C68" s="4" t="s">
        <v>31</v>
      </c>
      <c r="D68" s="4"/>
      <c r="E68" s="9"/>
      <c r="F68" s="9"/>
      <c r="G68" s="9"/>
      <c r="H68" s="9"/>
      <c r="I68" s="9"/>
      <c r="J68" s="9"/>
      <c r="K68" s="9"/>
      <c r="L68" s="9"/>
    </row>
    <row r="69" spans="3:14">
      <c r="C69" s="24" t="str">
        <f>C14</f>
        <v xml:space="preserve">Fiscal year  </v>
      </c>
      <c r="D69" s="24"/>
      <c r="E69" s="20"/>
      <c r="F69" s="20"/>
      <c r="G69" s="20"/>
      <c r="H69" s="21">
        <f t="shared" ref="H69:L70" si="40">H14</f>
        <v>2020</v>
      </c>
      <c r="I69" s="21">
        <f t="shared" si="40"/>
        <v>2021</v>
      </c>
      <c r="J69" s="21">
        <f t="shared" si="40"/>
        <v>2022</v>
      </c>
      <c r="K69" s="21">
        <f t="shared" si="40"/>
        <v>2023</v>
      </c>
      <c r="L69" s="21">
        <f t="shared" si="40"/>
        <v>2024</v>
      </c>
    </row>
    <row r="70" spans="3:14">
      <c r="C70" s="5" t="str">
        <f>C15</f>
        <v>Fiscal year end date</v>
      </c>
      <c r="D70" s="5"/>
      <c r="E70" s="22"/>
      <c r="F70" s="22"/>
      <c r="G70" s="22"/>
      <c r="H70" s="22">
        <f t="shared" si="40"/>
        <v>44104</v>
      </c>
      <c r="I70" s="22">
        <f t="shared" si="40"/>
        <v>44469</v>
      </c>
      <c r="J70" s="22">
        <f t="shared" si="40"/>
        <v>44834</v>
      </c>
      <c r="K70" s="22">
        <f t="shared" si="40"/>
        <v>45199</v>
      </c>
      <c r="L70" s="22">
        <f t="shared" si="40"/>
        <v>45565</v>
      </c>
    </row>
    <row r="72" spans="3:14">
      <c r="C72" t="s">
        <v>2</v>
      </c>
      <c r="E72" s="31"/>
      <c r="F72" s="31"/>
      <c r="G72" s="31"/>
      <c r="H72" s="15">
        <f ca="1">H28</f>
        <v>58068.411791803133</v>
      </c>
      <c r="I72" s="15">
        <f t="shared" ref="I72:L72" ca="1" si="41">I28</f>
        <v>61721.810321792007</v>
      </c>
      <c r="J72" s="15">
        <f t="shared" ca="1" si="41"/>
        <v>65719.301400773867</v>
      </c>
      <c r="K72" s="15">
        <f t="shared" ca="1" si="41"/>
        <v>70080.259438958354</v>
      </c>
      <c r="L72" s="15">
        <f t="shared" ca="1" si="41"/>
        <v>74831.34720758551</v>
      </c>
      <c r="N72" s="13"/>
    </row>
    <row r="73" spans="3:14">
      <c r="C73" t="s">
        <v>32</v>
      </c>
      <c r="E73" s="31"/>
      <c r="F73" s="31"/>
      <c r="G73" s="31"/>
      <c r="H73" s="15">
        <f ca="1">H30</f>
        <v>11808.331069482967</v>
      </c>
      <c r="I73" s="15">
        <f t="shared" ref="I73:L73" ca="1" si="42">I30</f>
        <v>12418.253260687266</v>
      </c>
      <c r="J73" s="15">
        <f t="shared" ca="1" si="42"/>
        <v>13558.159134874686</v>
      </c>
      <c r="K73" s="15">
        <f t="shared" ca="1" si="42"/>
        <v>14796.248715925842</v>
      </c>
      <c r="L73" s="15">
        <f t="shared" ca="1" si="42"/>
        <v>16140.644263520915</v>
      </c>
      <c r="N73" t="s">
        <v>137</v>
      </c>
    </row>
    <row r="74" spans="3:14">
      <c r="C74" t="s">
        <v>71</v>
      </c>
      <c r="E74" s="31"/>
      <c r="F74" s="31"/>
      <c r="G74" s="31"/>
      <c r="H74" s="15">
        <f ca="1">H32</f>
        <v>6432.08</v>
      </c>
      <c r="I74" s="15">
        <f t="shared" ref="I74:L74" ca="1" si="43">I32</f>
        <v>6875.8935199999996</v>
      </c>
      <c r="J74" s="15">
        <f t="shared" ca="1" si="43"/>
        <v>7350.3301728799988</v>
      </c>
      <c r="K74" s="15">
        <f t="shared" ca="1" si="43"/>
        <v>7857.5029548087186</v>
      </c>
      <c r="L74" s="15">
        <f t="shared" ca="1" si="43"/>
        <v>8399.6706586905202</v>
      </c>
    </row>
    <row r="75" spans="3:14">
      <c r="C75" t="s">
        <v>62</v>
      </c>
      <c r="E75" s="15"/>
      <c r="F75" s="15"/>
      <c r="G75" s="15"/>
      <c r="H75" s="15">
        <f ca="1">SUM(G46:G48)-SUM(H46:H48)</f>
        <v>-3736.9636544119858</v>
      </c>
      <c r="I75" s="15">
        <f t="shared" ref="I75:L75" ca="1" si="44">SUM(H46:H48)-SUM(I46:I48)</f>
        <v>-4553.9284921544313</v>
      </c>
      <c r="J75" s="15">
        <f t="shared" ca="1" si="44"/>
        <v>-4868.149558113073</v>
      </c>
      <c r="K75" s="15">
        <f t="shared" ca="1" si="44"/>
        <v>-5204.0518776228855</v>
      </c>
      <c r="L75" s="15">
        <f t="shared" ca="1" si="44"/>
        <v>-5563.131457178868</v>
      </c>
    </row>
    <row r="76" spans="3:14">
      <c r="C76" t="s">
        <v>63</v>
      </c>
      <c r="E76" s="15"/>
      <c r="F76" s="15"/>
      <c r="G76" s="15"/>
      <c r="H76" s="15">
        <f ca="1">SUM(H53:H55)-SUM(G53:G55)</f>
        <v>5382.6842877235031</v>
      </c>
      <c r="I76" s="15">
        <f ca="1">SUM(I53:I55)-SUM(H53:H55)</f>
        <v>6545.3872158528975</v>
      </c>
      <c r="J76" s="15">
        <f ca="1">SUM(J53:J55)-SUM(I53:I55)</f>
        <v>6997.0189337467746</v>
      </c>
      <c r="K76" s="15">
        <f ca="1">SUM(K53:K55)-SUM(J53:J55)</f>
        <v>7479.8132401752955</v>
      </c>
      <c r="L76" s="15">
        <f ca="1">SUM(L53:L55)-SUM(K53:K55)</f>
        <v>7995.9203537473804</v>
      </c>
    </row>
    <row r="77" spans="3:14">
      <c r="C77" t="s">
        <v>54</v>
      </c>
      <c r="H77" s="15">
        <f ca="1">-H111</f>
        <v>-3300.5</v>
      </c>
      <c r="I77" s="15">
        <f t="shared" ref="I77:L77" ca="1" si="45">-I111</f>
        <v>-3825.036500000002</v>
      </c>
      <c r="J77" s="15">
        <f t="shared" ca="1" si="45"/>
        <v>-4088.9640184999953</v>
      </c>
      <c r="K77" s="15">
        <f t="shared" ca="1" si="45"/>
        <v>-4371.1025357764956</v>
      </c>
      <c r="L77" s="15">
        <f t="shared" ca="1" si="45"/>
        <v>-4672.7086107450741</v>
      </c>
      <c r="N77" t="s">
        <v>138</v>
      </c>
    </row>
    <row r="78" spans="3:14">
      <c r="C78" t="s">
        <v>56</v>
      </c>
      <c r="H78" s="15">
        <f ca="1">H58-G58</f>
        <v>3030.1800000000003</v>
      </c>
      <c r="I78" s="15">
        <f t="shared" ref="I78:L78" ca="1" si="46">I58-H58</f>
        <v>3693.789420000001</v>
      </c>
      <c r="J78" s="15">
        <f t="shared" ca="1" si="46"/>
        <v>3948.6608899799976</v>
      </c>
      <c r="K78" s="15">
        <f t="shared" ca="1" si="46"/>
        <v>4221.1184913886173</v>
      </c>
      <c r="L78" s="15">
        <f t="shared" ca="1" si="46"/>
        <v>4512.3756672944364</v>
      </c>
      <c r="N78" s="13"/>
    </row>
    <row r="79" spans="3:14">
      <c r="C79" s="13" t="s">
        <v>33</v>
      </c>
      <c r="D79" s="13"/>
      <c r="H79" s="27">
        <f ca="1">SUM(H72:H78)</f>
        <v>77684.223494597623</v>
      </c>
      <c r="I79" s="27">
        <f ca="1">SUM(I72:I78)</f>
        <v>82876.168746177733</v>
      </c>
      <c r="J79" s="27">
        <f ca="1">SUM(J72:J78)</f>
        <v>88616.356955642259</v>
      </c>
      <c r="K79" s="27">
        <f ca="1">SUM(K72:K78)</f>
        <v>94859.788427857449</v>
      </c>
      <c r="L79" s="27">
        <f ca="1">SUM(L72:L78)</f>
        <v>101644.11808291482</v>
      </c>
    </row>
    <row r="80" spans="3:14">
      <c r="H80" s="15"/>
      <c r="I80" s="15"/>
      <c r="J80" s="15"/>
      <c r="K80" s="15"/>
      <c r="L80" s="15"/>
    </row>
    <row r="81" spans="3:14">
      <c r="C81" t="s">
        <v>34</v>
      </c>
      <c r="H81" s="15">
        <f>-(H97)</f>
        <v>-12925.83</v>
      </c>
      <c r="I81" s="15">
        <f t="shared" ref="I81:L81" si="47">-(I97)</f>
        <v>-13238.84</v>
      </c>
      <c r="J81" s="15">
        <f t="shared" ca="1" si="47"/>
        <v>-14152.319959999999</v>
      </c>
      <c r="K81" s="15">
        <f t="shared" ca="1" si="47"/>
        <v>-15128.830037239999</v>
      </c>
      <c r="L81" s="15">
        <f t="shared" ca="1" si="47"/>
        <v>-16172.719309809558</v>
      </c>
      <c r="N81" t="s">
        <v>97</v>
      </c>
    </row>
    <row r="82" spans="3:14">
      <c r="C82" s="13" t="s">
        <v>35</v>
      </c>
      <c r="D82" s="13"/>
      <c r="H82" s="27">
        <f>IFERROR(H81,"NA")</f>
        <v>-12925.83</v>
      </c>
      <c r="I82" s="27">
        <f>IFERROR(I81,"NA")</f>
        <v>-13238.84</v>
      </c>
      <c r="J82" s="27">
        <f ca="1">IFERROR(J81,"NA")</f>
        <v>-14152.319959999999</v>
      </c>
      <c r="K82" s="27">
        <f ca="1">IFERROR(K81,"NA")</f>
        <v>-15128.830037239999</v>
      </c>
      <c r="L82" s="27">
        <f ca="1">IFERROR(L81,"NA")</f>
        <v>-16172.719309809558</v>
      </c>
    </row>
    <row r="83" spans="3:14">
      <c r="H83" s="15"/>
      <c r="I83" s="15"/>
      <c r="J83" s="15"/>
      <c r="K83" s="15"/>
      <c r="L83" s="15"/>
    </row>
    <row r="84" spans="3:14">
      <c r="C84" t="s">
        <v>64</v>
      </c>
      <c r="H84" s="15">
        <f>H57-G57</f>
        <v>0</v>
      </c>
      <c r="I84" s="15">
        <f t="shared" ref="I84:L84" si="48">I57-H57</f>
        <v>0</v>
      </c>
      <c r="J84" s="15">
        <f t="shared" si="48"/>
        <v>0</v>
      </c>
      <c r="K84" s="15">
        <f t="shared" si="48"/>
        <v>0</v>
      </c>
      <c r="L84" s="15">
        <f t="shared" si="48"/>
        <v>0</v>
      </c>
    </row>
    <row r="85" spans="3:14">
      <c r="C85" t="s">
        <v>191</v>
      </c>
      <c r="H85" s="15">
        <f ca="1">H56-G56</f>
        <v>6020</v>
      </c>
      <c r="I85" s="15">
        <f t="shared" ref="I85:L85" ca="1" si="49">I56-H56</f>
        <v>0</v>
      </c>
      <c r="J85" s="15">
        <f t="shared" ca="1" si="49"/>
        <v>0</v>
      </c>
      <c r="K85" s="15">
        <f t="shared" ca="1" si="49"/>
        <v>0</v>
      </c>
      <c r="L85" s="15">
        <f t="shared" ca="1" si="49"/>
        <v>0</v>
      </c>
      <c r="N85" t="s">
        <v>146</v>
      </c>
    </row>
    <row r="86" spans="3:14">
      <c r="C86" t="s">
        <v>67</v>
      </c>
      <c r="H86" s="15">
        <f>H118</f>
        <v>-67101</v>
      </c>
      <c r="I86" s="15">
        <f t="shared" ref="I86:L86" si="50">I118</f>
        <v>-67101</v>
      </c>
      <c r="J86" s="15">
        <f t="shared" si="50"/>
        <v>-67101</v>
      </c>
      <c r="K86" s="15">
        <f t="shared" si="50"/>
        <v>-67101</v>
      </c>
      <c r="L86" s="15">
        <f t="shared" si="50"/>
        <v>-67101</v>
      </c>
      <c r="N86" t="s">
        <v>98</v>
      </c>
    </row>
    <row r="87" spans="3:14">
      <c r="C87" t="s">
        <v>68</v>
      </c>
      <c r="H87" s="15">
        <f ca="1">H117</f>
        <v>-14848.135771796482</v>
      </c>
      <c r="I87" s="15">
        <f t="shared" ref="I87:L87" ca="1" si="51">I117</f>
        <v>-15782.312473515985</v>
      </c>
      <c r="J87" s="15">
        <f t="shared" ca="1" si="51"/>
        <v>-16804.473894084516</v>
      </c>
      <c r="K87" s="15">
        <f t="shared" ca="1" si="51"/>
        <v>-17919.574084498385</v>
      </c>
      <c r="L87" s="15">
        <f t="shared" ca="1" si="51"/>
        <v>-19134.430735050959</v>
      </c>
      <c r="N87" t="s">
        <v>98</v>
      </c>
    </row>
    <row r="88" spans="3:14">
      <c r="C88" s="13" t="s">
        <v>36</v>
      </c>
      <c r="D88" s="13"/>
      <c r="H88" s="27">
        <f ca="1">SUM(H84:H87)</f>
        <v>-75929.135771796486</v>
      </c>
      <c r="I88" s="27">
        <f t="shared" ref="I88:L88" ca="1" si="52">SUM(I84:I87)</f>
        <v>-82883.31247351598</v>
      </c>
      <c r="J88" s="27">
        <f t="shared" ca="1" si="52"/>
        <v>-83905.473894084513</v>
      </c>
      <c r="K88" s="27">
        <f t="shared" ca="1" si="52"/>
        <v>-85020.574084498381</v>
      </c>
      <c r="L88" s="27">
        <f t="shared" ca="1" si="52"/>
        <v>-86235.430735050963</v>
      </c>
    </row>
    <row r="89" spans="3:14">
      <c r="H89" s="15"/>
      <c r="I89" s="15"/>
      <c r="J89" s="15"/>
      <c r="K89" s="15"/>
      <c r="L89" s="15"/>
    </row>
    <row r="90" spans="3:14">
      <c r="C90" s="13" t="s">
        <v>37</v>
      </c>
      <c r="D90" s="13"/>
      <c r="H90" s="27">
        <f ca="1">H79+H82+H88</f>
        <v>-11170.742277198864</v>
      </c>
      <c r="I90" s="27">
        <f ca="1">I79+I82+I88</f>
        <v>-13245.983727338244</v>
      </c>
      <c r="J90" s="27">
        <f ca="1">J79+J82+J88</f>
        <v>-9441.4368984422472</v>
      </c>
      <c r="K90" s="27">
        <f ca="1">K79+K82+K88</f>
        <v>-5289.615693880929</v>
      </c>
      <c r="L90" s="27">
        <f ca="1">L79+L82+L88</f>
        <v>-764.03196194570046</v>
      </c>
    </row>
    <row r="92" spans="3:14">
      <c r="C92" s="4" t="s">
        <v>28</v>
      </c>
      <c r="D92" s="4"/>
      <c r="E92" s="5"/>
      <c r="F92" s="5"/>
      <c r="G92" s="5"/>
      <c r="H92" s="5"/>
      <c r="I92" s="5"/>
      <c r="J92" s="5"/>
      <c r="K92" s="5"/>
      <c r="L92" s="5"/>
    </row>
    <row r="93" spans="3:14">
      <c r="C93" s="24" t="str">
        <f t="shared" ref="C93:L94" si="53">C14</f>
        <v xml:space="preserve">Fiscal year  </v>
      </c>
      <c r="D93" s="24"/>
      <c r="E93" s="20">
        <f t="shared" si="53"/>
        <v>2017</v>
      </c>
      <c r="F93" s="20">
        <f t="shared" si="53"/>
        <v>2018</v>
      </c>
      <c r="G93" s="20">
        <f t="shared" si="53"/>
        <v>2019</v>
      </c>
      <c r="H93" s="21">
        <f t="shared" si="53"/>
        <v>2020</v>
      </c>
      <c r="I93" s="21">
        <f t="shared" si="53"/>
        <v>2021</v>
      </c>
      <c r="J93" s="21">
        <f t="shared" si="53"/>
        <v>2022</v>
      </c>
      <c r="K93" s="21">
        <f t="shared" si="53"/>
        <v>2023</v>
      </c>
      <c r="L93" s="21">
        <f t="shared" si="53"/>
        <v>2024</v>
      </c>
    </row>
    <row r="94" spans="3:14">
      <c r="C94" s="5" t="str">
        <f t="shared" si="53"/>
        <v>Fiscal year end date</v>
      </c>
      <c r="D94" s="5"/>
      <c r="E94" s="22">
        <f t="shared" si="53"/>
        <v>43008</v>
      </c>
      <c r="F94" s="22">
        <f t="shared" si="53"/>
        <v>43372</v>
      </c>
      <c r="G94" s="22">
        <f t="shared" si="53"/>
        <v>43737</v>
      </c>
      <c r="H94" s="22">
        <f t="shared" si="53"/>
        <v>44104</v>
      </c>
      <c r="I94" s="22">
        <f t="shared" si="53"/>
        <v>44469</v>
      </c>
      <c r="J94" s="22">
        <f t="shared" si="53"/>
        <v>44834</v>
      </c>
      <c r="K94" s="22">
        <f t="shared" si="53"/>
        <v>45199</v>
      </c>
      <c r="L94" s="22">
        <f t="shared" si="53"/>
        <v>45565</v>
      </c>
    </row>
    <row r="95" spans="3:14">
      <c r="C95" s="13"/>
      <c r="D95" s="13"/>
      <c r="H95" s="60" t="s">
        <v>107</v>
      </c>
      <c r="I95" s="60"/>
      <c r="J95" s="60"/>
      <c r="K95" s="60"/>
      <c r="L95" s="60"/>
    </row>
    <row r="96" spans="3:14">
      <c r="C96" s="26" t="s">
        <v>26</v>
      </c>
      <c r="D96" s="26"/>
      <c r="H96" s="15">
        <f>G99</f>
        <v>37378</v>
      </c>
      <c r="I96" s="15">
        <f>H99</f>
        <v>39817.318930517038</v>
      </c>
      <c r="J96" s="15">
        <f>I99</f>
        <v>42050.931249829766</v>
      </c>
      <c r="K96" s="15">
        <f ca="1">J99</f>
        <v>44155.616419975078</v>
      </c>
      <c r="L96" s="15">
        <f ca="1">K99</f>
        <v>46102.948266115614</v>
      </c>
      <c r="N96" t="s">
        <v>134</v>
      </c>
    </row>
    <row r="97" spans="3:18">
      <c r="C97" s="29" t="s">
        <v>29</v>
      </c>
      <c r="D97" s="2">
        <v>12734</v>
      </c>
      <c r="E97" s="2">
        <v>12451</v>
      </c>
      <c r="F97" s="2">
        <v>13313</v>
      </c>
      <c r="G97" s="2">
        <v>10495</v>
      </c>
      <c r="H97" s="2">
        <v>12925.83</v>
      </c>
      <c r="I97" s="2">
        <v>13238.84</v>
      </c>
      <c r="J97" s="2">
        <f ca="1">I97*(1+J36)</f>
        <v>14152.319959999999</v>
      </c>
      <c r="K97" s="2">
        <f t="shared" ref="K97:L97" ca="1" si="54">J97*(1+K36)</f>
        <v>15128.830037239999</v>
      </c>
      <c r="L97" s="2">
        <f t="shared" ca="1" si="54"/>
        <v>16172.719309809558</v>
      </c>
      <c r="N97" t="s">
        <v>196</v>
      </c>
    </row>
    <row r="98" spans="3:18">
      <c r="C98" s="58" t="s">
        <v>30</v>
      </c>
      <c r="D98" s="51">
        <v>-8300</v>
      </c>
      <c r="E98" s="51">
        <v>-8200</v>
      </c>
      <c r="F98" s="51">
        <v>-9300</v>
      </c>
      <c r="G98" s="51">
        <v>-11300</v>
      </c>
      <c r="H98" s="57">
        <f>-(H101*H97)</f>
        <v>-10486.511069482967</v>
      </c>
      <c r="I98" s="57">
        <f>-(I101*I97)</f>
        <v>-11005.227680687267</v>
      </c>
      <c r="J98" s="57">
        <f ca="1">-(J101*J97)</f>
        <v>-12047.634789854686</v>
      </c>
      <c r="K98" s="57">
        <f ca="1">-(K101*K97)</f>
        <v>-13181.498191099461</v>
      </c>
      <c r="L98" s="57">
        <f ca="1">-(L101*L97)</f>
        <v>-14414.475952481514</v>
      </c>
      <c r="N98" t="s">
        <v>133</v>
      </c>
    </row>
    <row r="99" spans="3:18">
      <c r="C99" s="32" t="s">
        <v>27</v>
      </c>
      <c r="D99" s="27">
        <f>D49</f>
        <v>0</v>
      </c>
      <c r="E99" s="27">
        <f>E49</f>
        <v>33783</v>
      </c>
      <c r="F99" s="27">
        <f>F49</f>
        <v>41304</v>
      </c>
      <c r="G99" s="27">
        <f>G49</f>
        <v>37378</v>
      </c>
      <c r="H99" s="27">
        <f>SUM(H96:H98)</f>
        <v>39817.318930517038</v>
      </c>
      <c r="I99" s="27">
        <f>SUM(I96:I98)</f>
        <v>42050.931249829766</v>
      </c>
      <c r="J99" s="27">
        <f ca="1">SUM(J96:J98)</f>
        <v>44155.616419975078</v>
      </c>
      <c r="K99" s="27">
        <f ca="1">SUM(K96:K98)</f>
        <v>46102.948266115614</v>
      </c>
      <c r="L99" s="27">
        <f ca="1">SUM(L96:L98)</f>
        <v>47861.191623443658</v>
      </c>
      <c r="N99" t="s">
        <v>132</v>
      </c>
    </row>
    <row r="100" spans="3:18">
      <c r="C100" s="26"/>
      <c r="D100" s="26"/>
      <c r="N100" s="16" t="s">
        <v>46</v>
      </c>
    </row>
    <row r="101" spans="3:18">
      <c r="C101" s="26" t="s">
        <v>114</v>
      </c>
      <c r="D101" s="26"/>
      <c r="E101" s="3">
        <f>-(E98/E97)</f>
        <v>0.6585816400289134</v>
      </c>
      <c r="F101" s="3">
        <f>-(F98/F97)</f>
        <v>0.69856531210095396</v>
      </c>
      <c r="G101" s="3">
        <f>-(G98/G97)</f>
        <v>1.0767031919961887</v>
      </c>
      <c r="H101" s="18">
        <f>AVERAGE(E101:G101)</f>
        <v>0.81128338137535205</v>
      </c>
      <c r="I101" s="18">
        <f>H101+$N$101</f>
        <v>0.83128338137535207</v>
      </c>
      <c r="J101" s="18">
        <f>I101+$N$101</f>
        <v>0.85128338137535209</v>
      </c>
      <c r="K101" s="18">
        <f>J101+$N$101</f>
        <v>0.87128338137535211</v>
      </c>
      <c r="L101" s="18">
        <f>K101+$N$101</f>
        <v>0.89128338137535212</v>
      </c>
      <c r="N101" s="102">
        <v>0.02</v>
      </c>
      <c r="P101" s="54"/>
      <c r="Q101" s="54"/>
      <c r="R101" s="54"/>
    </row>
    <row r="102" spans="3:18">
      <c r="C102" s="26"/>
      <c r="D102" s="26"/>
      <c r="E102" s="3"/>
      <c r="F102" s="3"/>
      <c r="G102" s="3"/>
      <c r="H102" s="18"/>
      <c r="I102" s="18"/>
      <c r="J102" s="18"/>
      <c r="K102" s="18"/>
      <c r="L102" s="18"/>
      <c r="P102" s="54"/>
      <c r="Q102" s="54"/>
      <c r="R102" s="54"/>
    </row>
    <row r="103" spans="3:18">
      <c r="C103" s="69" t="s">
        <v>120</v>
      </c>
      <c r="D103" s="69"/>
      <c r="E103" s="30"/>
      <c r="F103" s="30"/>
      <c r="G103" s="30"/>
      <c r="H103" s="82"/>
      <c r="I103" s="82"/>
      <c r="J103" s="82"/>
      <c r="K103" s="82"/>
      <c r="L103" s="82"/>
      <c r="P103" s="54"/>
      <c r="Q103" s="54"/>
      <c r="R103" s="54"/>
    </row>
    <row r="104" spans="3:18">
      <c r="C104" s="26" t="s">
        <v>125</v>
      </c>
      <c r="D104" s="15">
        <f t="shared" ref="D104" si="55">D106+D98</f>
        <v>2205</v>
      </c>
      <c r="E104" s="15">
        <f>E106+E98</f>
        <v>1957</v>
      </c>
      <c r="F104" s="15">
        <f>F106+F98</f>
        <v>1603</v>
      </c>
      <c r="G104" s="15">
        <f>G106+G98</f>
        <v>1247</v>
      </c>
      <c r="H104" s="23">
        <f ca="1">H105*H17</f>
        <v>1321.8200000000002</v>
      </c>
      <c r="I104" s="23">
        <f ca="1">I105*I17</f>
        <v>1413.02558</v>
      </c>
      <c r="J104" s="23">
        <f ca="1">J105*J17</f>
        <v>1510.5243450200001</v>
      </c>
      <c r="K104" s="23">
        <f ca="1">K105*K17</f>
        <v>1614.7505248263801</v>
      </c>
      <c r="L104" s="23">
        <f ca="1">L105*L17</f>
        <v>1726.1683110394001</v>
      </c>
      <c r="N104" t="s">
        <v>177</v>
      </c>
      <c r="P104" s="54"/>
      <c r="Q104" s="54"/>
      <c r="R104" s="54"/>
    </row>
    <row r="105" spans="3:18">
      <c r="C105" s="17" t="s">
        <v>126</v>
      </c>
      <c r="D105" s="49">
        <f t="shared" ref="D105" si="56">D104/D17</f>
        <v>1.0225423044996499E-2</v>
      </c>
      <c r="E105" s="49">
        <f>E104/E17</f>
        <v>8.537128000209393E-3</v>
      </c>
      <c r="F105" s="49">
        <f>F104/F17</f>
        <v>6.0355051864681188E-3</v>
      </c>
      <c r="G105" s="49">
        <f>G104/G17</f>
        <v>4.7929462590420259E-3</v>
      </c>
      <c r="H105" s="18">
        <f>G105</f>
        <v>4.7929462590420259E-3</v>
      </c>
      <c r="I105" s="18">
        <f>H105</f>
        <v>4.7929462590420259E-3</v>
      </c>
      <c r="J105" s="18">
        <f>I105</f>
        <v>4.7929462590420259E-3</v>
      </c>
      <c r="K105" s="18">
        <f>J105</f>
        <v>4.7929462590420259E-3</v>
      </c>
      <c r="L105" s="18">
        <f>K105</f>
        <v>4.7929462590420259E-3</v>
      </c>
      <c r="N105" t="s">
        <v>127</v>
      </c>
    </row>
    <row r="106" spans="3:18">
      <c r="C106" s="25" t="s">
        <v>101</v>
      </c>
      <c r="D106" s="27">
        <f t="shared" ref="D106" si="57">D30</f>
        <v>10505</v>
      </c>
      <c r="E106" s="27">
        <f>E30</f>
        <v>10157</v>
      </c>
      <c r="F106" s="27">
        <f>F30</f>
        <v>10903</v>
      </c>
      <c r="G106" s="27">
        <f>G30</f>
        <v>12547</v>
      </c>
      <c r="H106" s="14">
        <f ca="1">-H98+H104</f>
        <v>11808.331069482967</v>
      </c>
      <c r="I106" s="14">
        <f ca="1">-I98+I104</f>
        <v>12418.253260687266</v>
      </c>
      <c r="J106" s="14">
        <f ca="1">-J98+J104</f>
        <v>13558.159134874686</v>
      </c>
      <c r="K106" s="14">
        <f ca="1">-K98+K104</f>
        <v>14796.248715925842</v>
      </c>
      <c r="L106" s="14">
        <f ca="1">-L98+L104</f>
        <v>16140.644263520915</v>
      </c>
      <c r="N106" t="s">
        <v>129</v>
      </c>
    </row>
    <row r="107" spans="3:18">
      <c r="C107" s="26"/>
      <c r="D107" s="26"/>
      <c r="E107" s="15"/>
      <c r="F107" s="15"/>
      <c r="G107" s="15"/>
      <c r="I107" s="15"/>
      <c r="J107" s="15"/>
      <c r="K107" s="15"/>
      <c r="L107" s="15"/>
    </row>
    <row r="108" spans="3:18">
      <c r="C108" s="39" t="s">
        <v>119</v>
      </c>
      <c r="D108" s="39"/>
      <c r="E108" s="5"/>
      <c r="F108" s="5"/>
      <c r="G108" s="5"/>
      <c r="I108" s="15"/>
      <c r="J108" s="15"/>
      <c r="K108" s="15"/>
      <c r="L108" s="15"/>
    </row>
    <row r="109" spans="3:18">
      <c r="C109" s="26" t="s">
        <v>26</v>
      </c>
      <c r="D109" s="26"/>
      <c r="E109" s="15"/>
      <c r="H109" s="73">
        <f>G112</f>
        <v>32978</v>
      </c>
      <c r="I109" s="73">
        <f ca="1">H112</f>
        <v>34956.68</v>
      </c>
      <c r="J109" s="73">
        <f ca="1">I112</f>
        <v>37368.690920000001</v>
      </c>
      <c r="K109" s="73">
        <f ca="1">J112</f>
        <v>39947.130593479997</v>
      </c>
      <c r="L109" s="73">
        <f ca="1">K112</f>
        <v>42703.482604430115</v>
      </c>
      <c r="N109" t="s">
        <v>134</v>
      </c>
    </row>
    <row r="110" spans="3:18">
      <c r="C110" s="17" t="s">
        <v>115</v>
      </c>
      <c r="D110" s="17"/>
      <c r="H110" s="15">
        <f ca="1">-(H104)</f>
        <v>-1321.8200000000002</v>
      </c>
      <c r="I110" s="15">
        <f ca="1">-(I104)</f>
        <v>-1413.02558</v>
      </c>
      <c r="J110" s="15">
        <f ca="1">-(J104)</f>
        <v>-1510.5243450200001</v>
      </c>
      <c r="K110" s="15">
        <f ca="1">-(K104)</f>
        <v>-1614.7505248263801</v>
      </c>
      <c r="L110" s="15">
        <f ca="1">-(L104)</f>
        <v>-1726.1683110394001</v>
      </c>
      <c r="N110" t="s">
        <v>130</v>
      </c>
    </row>
    <row r="111" spans="3:18" ht="15" customHeight="1">
      <c r="C111" s="59" t="s">
        <v>116</v>
      </c>
      <c r="D111" s="59"/>
      <c r="E111" s="56"/>
      <c r="F111" s="56"/>
      <c r="G111" s="56"/>
      <c r="H111" s="71">
        <f ca="1">H112-H110-H109</f>
        <v>3300.5</v>
      </c>
      <c r="I111" s="71">
        <f ca="1">I112-I110-I109</f>
        <v>3825.036500000002</v>
      </c>
      <c r="J111" s="71">
        <f ca="1">J112-J110-J109</f>
        <v>4088.9640184999953</v>
      </c>
      <c r="K111" s="71">
        <f ca="1">K112-K110-K109</f>
        <v>4371.1025357764956</v>
      </c>
      <c r="L111" s="71">
        <f ca="1">L112-L110-L109</f>
        <v>4672.7086107450741</v>
      </c>
      <c r="N111" t="s">
        <v>135</v>
      </c>
    </row>
    <row r="112" spans="3:18">
      <c r="C112" s="32" t="s">
        <v>27</v>
      </c>
      <c r="D112" s="27"/>
      <c r="E112" s="27">
        <f t="shared" ref="E112:L112" si="58">E50</f>
        <v>18177</v>
      </c>
      <c r="F112" s="27">
        <f t="shared" si="58"/>
        <v>22283</v>
      </c>
      <c r="G112" s="27">
        <f t="shared" si="58"/>
        <v>32978</v>
      </c>
      <c r="H112" s="27">
        <f t="shared" ca="1" si="58"/>
        <v>34956.68</v>
      </c>
      <c r="I112" s="27">
        <f t="shared" ca="1" si="58"/>
        <v>37368.690920000001</v>
      </c>
      <c r="J112" s="27">
        <f t="shared" ca="1" si="58"/>
        <v>39947.130593479997</v>
      </c>
      <c r="K112" s="27">
        <f t="shared" ca="1" si="58"/>
        <v>42703.482604430115</v>
      </c>
      <c r="L112" s="27">
        <f t="shared" ca="1" si="58"/>
        <v>45650.022904135789</v>
      </c>
      <c r="N112" t="s">
        <v>136</v>
      </c>
    </row>
    <row r="113" spans="3:18">
      <c r="C113" s="17"/>
      <c r="D113" s="17"/>
      <c r="F113" s="15"/>
      <c r="G113" s="15"/>
      <c r="I113" s="15"/>
      <c r="J113" s="15"/>
      <c r="K113" s="15"/>
      <c r="L113" s="15"/>
    </row>
    <row r="114" spans="3:18">
      <c r="C114" s="40" t="s">
        <v>72</v>
      </c>
      <c r="D114" s="40"/>
      <c r="E114" s="39"/>
      <c r="F114" s="39"/>
      <c r="G114" s="39"/>
      <c r="H114" s="5"/>
      <c r="I114" s="5"/>
      <c r="J114" s="5"/>
      <c r="K114" s="5"/>
      <c r="L114" s="5"/>
    </row>
    <row r="115" spans="3:18">
      <c r="C115" s="26" t="s">
        <v>26</v>
      </c>
      <c r="D115" s="26"/>
      <c r="H115" s="15">
        <f>G119</f>
        <v>45898</v>
      </c>
      <c r="I115" s="15">
        <f ca="1">H119</f>
        <v>22017.276020006655</v>
      </c>
      <c r="J115" s="15">
        <f ca="1">I119</f>
        <v>855.77386828267481</v>
      </c>
      <c r="K115" s="15">
        <f ca="1">J119</f>
        <v>-17330.39862502797</v>
      </c>
      <c r="L115" s="15">
        <f ca="1">K119</f>
        <v>-32270.713270567998</v>
      </c>
      <c r="N115" t="s">
        <v>134</v>
      </c>
    </row>
    <row r="116" spans="3:18">
      <c r="C116" s="17" t="s">
        <v>59</v>
      </c>
      <c r="D116" s="23">
        <f t="shared" ref="D116:F116" si="59">D28</f>
        <v>45687</v>
      </c>
      <c r="E116" s="23">
        <f t="shared" si="59"/>
        <v>48351</v>
      </c>
      <c r="F116" s="23">
        <f t="shared" si="59"/>
        <v>59531</v>
      </c>
      <c r="G116" s="23">
        <f t="shared" ref="G116:L116" si="60">G28</f>
        <v>55256</v>
      </c>
      <c r="H116" s="15">
        <f t="shared" ca="1" si="60"/>
        <v>58068.411791803133</v>
      </c>
      <c r="I116" s="15">
        <f t="shared" ca="1" si="60"/>
        <v>61721.810321792007</v>
      </c>
      <c r="J116" s="15">
        <f t="shared" ca="1" si="60"/>
        <v>65719.301400773867</v>
      </c>
      <c r="K116" s="15">
        <f t="shared" ca="1" si="60"/>
        <v>70080.259438958354</v>
      </c>
      <c r="L116" s="15">
        <f t="shared" ca="1" si="60"/>
        <v>74831.34720758551</v>
      </c>
      <c r="N116" t="s">
        <v>93</v>
      </c>
    </row>
    <row r="117" spans="3:18">
      <c r="C117" s="17" t="s">
        <v>60</v>
      </c>
      <c r="D117" s="2">
        <v>-12188</v>
      </c>
      <c r="E117" s="2">
        <v>-12803</v>
      </c>
      <c r="F117" s="2">
        <v>-13735</v>
      </c>
      <c r="G117" s="2">
        <v>-14129</v>
      </c>
      <c r="H117" s="15">
        <f ca="1">H116*G117/G116</f>
        <v>-14848.135771796482</v>
      </c>
      <c r="I117" s="15">
        <f t="shared" ref="I117:L117" ca="1" si="61">I116*H117/H116</f>
        <v>-15782.312473515985</v>
      </c>
      <c r="J117" s="15">
        <f t="shared" ca="1" si="61"/>
        <v>-16804.473894084516</v>
      </c>
      <c r="K117" s="15">
        <f t="shared" ca="1" si="61"/>
        <v>-17919.574084498385</v>
      </c>
      <c r="L117" s="15">
        <f t="shared" ca="1" si="61"/>
        <v>-19134.430735050959</v>
      </c>
      <c r="N117" t="s">
        <v>193</v>
      </c>
    </row>
    <row r="118" spans="3:18">
      <c r="C118" s="59" t="s">
        <v>61</v>
      </c>
      <c r="D118" s="51">
        <v>-29000</v>
      </c>
      <c r="E118" s="51">
        <v>-33001</v>
      </c>
      <c r="F118" s="51">
        <v>-73056</v>
      </c>
      <c r="G118" s="51">
        <v>-67101</v>
      </c>
      <c r="H118" s="57">
        <f>G118</f>
        <v>-67101</v>
      </c>
      <c r="I118" s="57">
        <f t="shared" ref="I118:L118" si="62">H118</f>
        <v>-67101</v>
      </c>
      <c r="J118" s="57">
        <f t="shared" si="62"/>
        <v>-67101</v>
      </c>
      <c r="K118" s="57">
        <f t="shared" si="62"/>
        <v>-67101</v>
      </c>
      <c r="L118" s="57">
        <f t="shared" si="62"/>
        <v>-67101</v>
      </c>
      <c r="N118" t="s">
        <v>176</v>
      </c>
    </row>
    <row r="119" spans="3:18">
      <c r="C119" s="32" t="s">
        <v>27</v>
      </c>
      <c r="D119" s="14">
        <f>D62</f>
        <v>0</v>
      </c>
      <c r="E119" s="14">
        <f>E62</f>
        <v>98330</v>
      </c>
      <c r="F119" s="14">
        <f>F62</f>
        <v>70400</v>
      </c>
      <c r="G119" s="14">
        <f>G62</f>
        <v>45898</v>
      </c>
      <c r="H119" s="27">
        <f ca="1">SUM(H115:H118)</f>
        <v>22017.276020006655</v>
      </c>
      <c r="I119" s="27">
        <f ca="1">SUM(I115:I118)</f>
        <v>855.77386828267481</v>
      </c>
      <c r="J119" s="27">
        <f ca="1">SUM(J115:J118)</f>
        <v>-17330.39862502797</v>
      </c>
      <c r="K119" s="27">
        <f ca="1">SUM(K115:K118)</f>
        <v>-32270.713270567998</v>
      </c>
      <c r="L119" s="27">
        <f ca="1">SUM(L115:L118)</f>
        <v>-43674.796798033451</v>
      </c>
      <c r="N119" t="s">
        <v>131</v>
      </c>
    </row>
    <row r="120" spans="3:18">
      <c r="F120" s="31"/>
      <c r="G120" s="31"/>
    </row>
    <row r="121" spans="3:18">
      <c r="C121" s="4" t="s">
        <v>121</v>
      </c>
      <c r="D121" s="4"/>
      <c r="E121" s="5"/>
      <c r="F121" s="5"/>
      <c r="G121" s="5"/>
      <c r="H121" s="5"/>
      <c r="I121" s="5"/>
      <c r="J121" s="5"/>
      <c r="K121" s="5"/>
      <c r="L121" s="5"/>
      <c r="P121" s="54"/>
      <c r="Q121" s="54"/>
    </row>
    <row r="122" spans="3:18">
      <c r="C122" s="24" t="str">
        <f t="shared" ref="C122:L123" si="63">C14</f>
        <v xml:space="preserve">Fiscal year  </v>
      </c>
      <c r="D122" s="24"/>
      <c r="E122" s="20">
        <f t="shared" si="63"/>
        <v>2017</v>
      </c>
      <c r="F122" s="20">
        <f t="shared" si="63"/>
        <v>2018</v>
      </c>
      <c r="G122" s="20">
        <f t="shared" si="63"/>
        <v>2019</v>
      </c>
      <c r="H122" s="21">
        <f t="shared" si="63"/>
        <v>2020</v>
      </c>
      <c r="I122" s="21">
        <f t="shared" si="63"/>
        <v>2021</v>
      </c>
      <c r="J122" s="21">
        <f t="shared" si="63"/>
        <v>2022</v>
      </c>
      <c r="K122" s="21">
        <f t="shared" si="63"/>
        <v>2023</v>
      </c>
      <c r="L122" s="21">
        <f>L14</f>
        <v>2024</v>
      </c>
      <c r="P122" s="54"/>
      <c r="Q122" s="54"/>
    </row>
    <row r="123" spans="3:18">
      <c r="C123" s="5" t="str">
        <f t="shared" si="63"/>
        <v>Fiscal year end date</v>
      </c>
      <c r="D123" s="5"/>
      <c r="E123" s="22">
        <f t="shared" si="63"/>
        <v>43008</v>
      </c>
      <c r="F123" s="22">
        <f t="shared" si="63"/>
        <v>43372</v>
      </c>
      <c r="G123" s="22">
        <f t="shared" si="63"/>
        <v>43737</v>
      </c>
      <c r="H123" s="22">
        <f t="shared" si="63"/>
        <v>44104</v>
      </c>
      <c r="I123" s="22">
        <f t="shared" si="63"/>
        <v>44469</v>
      </c>
      <c r="J123" s="22">
        <f t="shared" si="63"/>
        <v>44834</v>
      </c>
      <c r="K123" s="22">
        <f t="shared" si="63"/>
        <v>45199</v>
      </c>
      <c r="L123" s="22">
        <f t="shared" si="63"/>
        <v>45565</v>
      </c>
      <c r="P123" s="54"/>
      <c r="Q123" s="54"/>
    </row>
    <row r="124" spans="3:18">
      <c r="C124" s="13"/>
      <c r="D124" s="13"/>
      <c r="P124" s="54"/>
      <c r="Q124" s="54"/>
    </row>
    <row r="125" spans="3:18">
      <c r="C125" s="16" t="s">
        <v>38</v>
      </c>
      <c r="D125" s="16"/>
      <c r="P125" s="54"/>
      <c r="Q125" s="54"/>
      <c r="R125" s="54"/>
    </row>
    <row r="126" spans="3:18">
      <c r="C126" s="17" t="s">
        <v>44</v>
      </c>
      <c r="D126" s="17"/>
      <c r="H126" s="15">
        <f>G45</f>
        <v>205898</v>
      </c>
      <c r="I126" s="15">
        <f ca="1">H45</f>
        <v>194727.25772280112</v>
      </c>
      <c r="J126" s="15">
        <f ca="1">I45</f>
        <v>181481.27399546286</v>
      </c>
      <c r="K126" s="15">
        <f ca="1">J45</f>
        <v>172039.83709702062</v>
      </c>
      <c r="L126" s="15">
        <f ca="1">K45</f>
        <v>166750.2214031397</v>
      </c>
      <c r="N126" t="s">
        <v>139</v>
      </c>
      <c r="P126" s="54"/>
      <c r="Q126" s="54"/>
    </row>
    <row r="127" spans="3:18">
      <c r="C127" s="17" t="s">
        <v>66</v>
      </c>
      <c r="D127" s="17"/>
      <c r="H127" s="2">
        <v>-50000</v>
      </c>
      <c r="I127" s="2">
        <v>-50000</v>
      </c>
      <c r="J127" s="2">
        <v>-50000</v>
      </c>
      <c r="K127" s="2">
        <v>-50000</v>
      </c>
      <c r="L127" s="2">
        <v>-50000</v>
      </c>
      <c r="N127" t="s">
        <v>117</v>
      </c>
      <c r="P127" s="54"/>
      <c r="Q127" s="54"/>
    </row>
    <row r="128" spans="3:18">
      <c r="C128" s="59" t="s">
        <v>39</v>
      </c>
      <c r="D128" s="59"/>
      <c r="E128" s="56"/>
      <c r="F128" s="56"/>
      <c r="G128" s="56"/>
      <c r="H128" s="57">
        <f ca="1">SUM(H79,H82,H84,H86,H87)</f>
        <v>-17190.74227719886</v>
      </c>
      <c r="I128" s="57">
        <f ca="1">SUM(I79,I82,I84,I86,I87)</f>
        <v>-13245.983727338249</v>
      </c>
      <c r="J128" s="57">
        <f ca="1">SUM(J79,J82,J84,J86,J87)</f>
        <v>-9441.4368984422508</v>
      </c>
      <c r="K128" s="57">
        <f ca="1">SUM(K79,K82,K84,K86,K87)</f>
        <v>-5289.6156938809327</v>
      </c>
      <c r="L128" s="57">
        <f ca="1">SUM(L79,L82,L84,L86,L87)</f>
        <v>-764.03196194569682</v>
      </c>
      <c r="N128" t="s">
        <v>140</v>
      </c>
    </row>
    <row r="129" spans="3:20">
      <c r="C129" s="32" t="s">
        <v>94</v>
      </c>
      <c r="D129" s="32"/>
      <c r="H129" s="27">
        <f ca="1">SUM(H126:H128)</f>
        <v>138707.25772280115</v>
      </c>
      <c r="I129" s="27">
        <f ca="1">SUM(I126:I128)</f>
        <v>131481.27399546286</v>
      </c>
      <c r="J129" s="27">
        <f ca="1">SUM(J126:J128)</f>
        <v>122039.83709702062</v>
      </c>
      <c r="K129" s="27">
        <f ca="1">SUM(K126:K128)</f>
        <v>116750.22140313969</v>
      </c>
      <c r="L129" s="27">
        <f ca="1">SUM(L126:L128)</f>
        <v>115986.189441194</v>
      </c>
    </row>
    <row r="131" spans="3:20">
      <c r="C131" s="13" t="s">
        <v>104</v>
      </c>
      <c r="D131" s="13"/>
    </row>
    <row r="132" spans="3:20">
      <c r="C132" s="17" t="s">
        <v>26</v>
      </c>
      <c r="D132" s="17"/>
      <c r="H132" s="15">
        <f>G135</f>
        <v>5980</v>
      </c>
      <c r="I132" s="15">
        <f ca="1">H135</f>
        <v>12000</v>
      </c>
      <c r="J132" s="15">
        <f ca="1">I135</f>
        <v>12000</v>
      </c>
      <c r="K132" s="15">
        <f ca="1">J135</f>
        <v>12000</v>
      </c>
      <c r="L132" s="15">
        <f ca="1">K135</f>
        <v>12000</v>
      </c>
      <c r="N132" t="s">
        <v>134</v>
      </c>
    </row>
    <row r="133" spans="3:20">
      <c r="C133" s="29" t="s">
        <v>142</v>
      </c>
      <c r="D133" s="29"/>
      <c r="H133" s="15">
        <f ca="1">-MIN(H129,H132)</f>
        <v>-5980</v>
      </c>
      <c r="I133" s="15">
        <f ca="1">-MIN(I129,I132)</f>
        <v>-12000</v>
      </c>
      <c r="J133" s="15">
        <f ca="1">-MIN(J129,J132)</f>
        <v>-12000</v>
      </c>
      <c r="K133" s="15">
        <f ca="1">-MIN(K129,K132)</f>
        <v>-12000</v>
      </c>
      <c r="L133" s="15">
        <f ca="1">-MIN(L129,L132)</f>
        <v>-12000</v>
      </c>
      <c r="N133" t="s">
        <v>141</v>
      </c>
    </row>
    <row r="134" spans="3:20">
      <c r="C134" s="58" t="s">
        <v>118</v>
      </c>
      <c r="D134" s="58"/>
      <c r="E134" s="56"/>
      <c r="F134" s="56"/>
      <c r="G134" s="56"/>
      <c r="H134" s="51">
        <v>12000</v>
      </c>
      <c r="I134" s="51">
        <v>12000</v>
      </c>
      <c r="J134" s="51">
        <v>12000</v>
      </c>
      <c r="K134" s="51">
        <v>12000</v>
      </c>
      <c r="L134" s="51">
        <v>12000</v>
      </c>
      <c r="N134" t="s">
        <v>117</v>
      </c>
    </row>
    <row r="135" spans="3:20">
      <c r="C135" s="17" t="s">
        <v>27</v>
      </c>
      <c r="D135" s="57"/>
      <c r="E135" s="57">
        <f>E56</f>
        <v>11977</v>
      </c>
      <c r="F135" s="57">
        <f>F56</f>
        <v>11964</v>
      </c>
      <c r="G135" s="57">
        <f>G56</f>
        <v>5980</v>
      </c>
      <c r="H135" s="83">
        <f ca="1">SUM(H132:H134)</f>
        <v>12000</v>
      </c>
      <c r="I135" s="83">
        <f ca="1">SUM(I132:I134)</f>
        <v>12000</v>
      </c>
      <c r="J135" s="83">
        <f ca="1">SUM(J132:J134)</f>
        <v>12000</v>
      </c>
      <c r="K135" s="83">
        <f ca="1">SUM(K132:K134)</f>
        <v>12000</v>
      </c>
      <c r="L135" s="83">
        <f ca="1">SUM(L132:L134)</f>
        <v>12000</v>
      </c>
    </row>
    <row r="136" spans="3:20">
      <c r="C136" s="65" t="s">
        <v>110</v>
      </c>
      <c r="D136" s="108"/>
      <c r="E136" s="67"/>
      <c r="F136" s="67"/>
      <c r="G136" s="68"/>
      <c r="H136" s="84" t="str">
        <f ca="1">IF(H135&lt;0,"Negative Debt","OK")</f>
        <v>OK</v>
      </c>
      <c r="I136" s="84" t="str">
        <f ca="1">IF(I135&lt;0,"Negative Debt","OK")</f>
        <v>OK</v>
      </c>
      <c r="J136" s="84" t="str">
        <f ca="1">IF(J135&lt;0,"Negative Debt","OK")</f>
        <v>OK</v>
      </c>
      <c r="K136" s="84" t="str">
        <f ca="1">IF(K135&lt;0,"Negative Debt","OK")</f>
        <v>OK</v>
      </c>
      <c r="L136" s="84" t="str">
        <f ca="1">IF(L135&lt;0,"Negative Debt","OK")</f>
        <v>OK</v>
      </c>
      <c r="T136" s="31"/>
    </row>
    <row r="137" spans="3:20">
      <c r="E137" s="15"/>
      <c r="F137" s="15"/>
      <c r="G137" s="66"/>
      <c r="H137" s="85"/>
      <c r="I137" s="85"/>
      <c r="J137" s="85"/>
      <c r="K137" s="85"/>
      <c r="L137" s="85"/>
      <c r="T137" s="31"/>
    </row>
    <row r="138" spans="3:20">
      <c r="C138" s="4" t="s">
        <v>42</v>
      </c>
      <c r="D138" s="4"/>
      <c r="E138" s="30"/>
      <c r="F138" s="30"/>
      <c r="G138" s="30"/>
      <c r="H138" s="86"/>
      <c r="I138" s="86"/>
      <c r="J138" s="86"/>
      <c r="K138" s="86"/>
      <c r="L138" s="86"/>
      <c r="S138" s="55"/>
    </row>
    <row r="139" spans="3:20">
      <c r="C139" s="24" t="str">
        <f t="shared" ref="C139:L140" si="64">C14</f>
        <v xml:space="preserve">Fiscal year  </v>
      </c>
      <c r="D139" s="24"/>
      <c r="E139" s="20">
        <f t="shared" si="64"/>
        <v>2017</v>
      </c>
      <c r="F139" s="20">
        <f t="shared" si="64"/>
        <v>2018</v>
      </c>
      <c r="G139" s="20">
        <f t="shared" si="64"/>
        <v>2019</v>
      </c>
      <c r="H139" s="21">
        <f t="shared" si="64"/>
        <v>2020</v>
      </c>
      <c r="I139" s="21">
        <f t="shared" si="64"/>
        <v>2021</v>
      </c>
      <c r="J139" s="21">
        <f t="shared" si="64"/>
        <v>2022</v>
      </c>
      <c r="K139" s="21">
        <f t="shared" si="64"/>
        <v>2023</v>
      </c>
      <c r="L139" s="21">
        <f t="shared" si="64"/>
        <v>2024</v>
      </c>
      <c r="S139" s="55"/>
      <c r="T139" s="31"/>
    </row>
    <row r="140" spans="3:20">
      <c r="C140" s="5" t="str">
        <f t="shared" si="64"/>
        <v>Fiscal year end date</v>
      </c>
      <c r="D140" s="5"/>
      <c r="E140" s="22">
        <f t="shared" si="64"/>
        <v>43008</v>
      </c>
      <c r="F140" s="22">
        <f t="shared" si="64"/>
        <v>43372</v>
      </c>
      <c r="G140" s="22">
        <f t="shared" si="64"/>
        <v>43737</v>
      </c>
      <c r="H140" s="22">
        <f t="shared" si="64"/>
        <v>44104</v>
      </c>
      <c r="I140" s="22">
        <f t="shared" si="64"/>
        <v>44469</v>
      </c>
      <c r="J140" s="22">
        <f t="shared" si="64"/>
        <v>44834</v>
      </c>
      <c r="K140" s="22">
        <f t="shared" si="64"/>
        <v>45199</v>
      </c>
      <c r="L140" s="22">
        <f t="shared" si="64"/>
        <v>45565</v>
      </c>
      <c r="S140" s="55"/>
    </row>
    <row r="141" spans="3:20">
      <c r="C141" s="17"/>
      <c r="D141" s="17"/>
      <c r="E141" s="15"/>
      <c r="F141" s="15"/>
      <c r="G141" s="15"/>
      <c r="H141" s="87"/>
      <c r="I141" s="87"/>
      <c r="J141" s="87"/>
      <c r="K141" s="87"/>
      <c r="L141" s="87"/>
      <c r="S141" s="55"/>
    </row>
    <row r="142" spans="3:20">
      <c r="C142" s="26" t="s">
        <v>111</v>
      </c>
      <c r="D142" s="15">
        <f t="shared" ref="D142" si="65">-(D24)</f>
        <v>1456</v>
      </c>
      <c r="E142" s="15">
        <f>-(E24)</f>
        <v>2323</v>
      </c>
      <c r="F142" s="15">
        <f>-(F24)</f>
        <v>3240</v>
      </c>
      <c r="G142" s="15">
        <f>-(G24)</f>
        <v>3576</v>
      </c>
      <c r="H142" s="15">
        <f ca="1">H147+H152</f>
        <v>3568.9466179543074</v>
      </c>
      <c r="I142" s="15">
        <f ca="1">I147+I152</f>
        <v>3636.3706179543074</v>
      </c>
      <c r="J142" s="15">
        <f ca="1">J147+J152</f>
        <v>3636.3706179543074</v>
      </c>
      <c r="K142" s="15">
        <f ca="1">K147+K152</f>
        <v>3636.3706179543074</v>
      </c>
      <c r="L142" s="15">
        <f ca="1">L147+L152</f>
        <v>3636.3706179543074</v>
      </c>
      <c r="N142" t="s">
        <v>143</v>
      </c>
      <c r="S142" s="31"/>
    </row>
    <row r="143" spans="3:20">
      <c r="C143" s="36"/>
      <c r="D143" s="36"/>
      <c r="S143" s="31"/>
    </row>
    <row r="144" spans="3:20">
      <c r="C144" s="50" t="s">
        <v>65</v>
      </c>
      <c r="D144" s="50"/>
      <c r="S144" s="31"/>
    </row>
    <row r="145" spans="3:19">
      <c r="C145" s="17" t="s">
        <v>102</v>
      </c>
      <c r="D145" s="17"/>
      <c r="E145" s="34">
        <v>1.2E-2</v>
      </c>
      <c r="F145" s="34">
        <v>2.18E-2</v>
      </c>
      <c r="G145" s="34">
        <v>2.24E-2</v>
      </c>
      <c r="H145" s="88">
        <f>G145</f>
        <v>2.24E-2</v>
      </c>
      <c r="I145" s="88">
        <f>H145</f>
        <v>2.24E-2</v>
      </c>
      <c r="J145" s="88">
        <f>I145</f>
        <v>2.24E-2</v>
      </c>
      <c r="K145" s="88">
        <f>J145</f>
        <v>2.24E-2</v>
      </c>
      <c r="L145" s="88">
        <f>K145</f>
        <v>2.24E-2</v>
      </c>
      <c r="N145" t="s">
        <v>122</v>
      </c>
    </row>
    <row r="146" spans="3:19">
      <c r="C146" s="17" t="s">
        <v>103</v>
      </c>
      <c r="D146" s="59"/>
      <c r="E146" s="57">
        <f t="shared" ref="E146:L146" si="66">E56</f>
        <v>11977</v>
      </c>
      <c r="F146" s="57">
        <f t="shared" si="66"/>
        <v>11964</v>
      </c>
      <c r="G146" s="57">
        <f t="shared" si="66"/>
        <v>5980</v>
      </c>
      <c r="H146" s="15">
        <f t="shared" ca="1" si="66"/>
        <v>12000</v>
      </c>
      <c r="I146" s="15">
        <f t="shared" ca="1" si="66"/>
        <v>12000</v>
      </c>
      <c r="J146" s="15">
        <f t="shared" ca="1" si="66"/>
        <v>12000</v>
      </c>
      <c r="K146" s="15">
        <f t="shared" ca="1" si="66"/>
        <v>12000</v>
      </c>
      <c r="L146" s="15">
        <f t="shared" ca="1" si="66"/>
        <v>12000</v>
      </c>
      <c r="N146" t="s">
        <v>145</v>
      </c>
    </row>
    <row r="147" spans="3:19">
      <c r="C147" s="74" t="s">
        <v>40</v>
      </c>
      <c r="D147" s="109"/>
      <c r="E147" s="27">
        <f>AVERAGE(D146:E146)*E145</f>
        <v>143.72399999999999</v>
      </c>
      <c r="F147" s="27">
        <f>AVERAGE(E146:F146)*F145</f>
        <v>260.95690000000002</v>
      </c>
      <c r="G147" s="27">
        <f>AVERAGE(F146:G146)*G145</f>
        <v>200.97280000000001</v>
      </c>
      <c r="H147" s="75">
        <f ca="1">IF($D$7=1,AVERAGE(G146,H146)*H145,0)</f>
        <v>201.376</v>
      </c>
      <c r="I147" s="75">
        <f t="shared" ref="I147:L147" ca="1" si="67">IF($D$7=1,AVERAGE(H146,I146)*I145,0)</f>
        <v>268.8</v>
      </c>
      <c r="J147" s="75">
        <f t="shared" ca="1" si="67"/>
        <v>268.8</v>
      </c>
      <c r="K147" s="75">
        <f t="shared" ca="1" si="67"/>
        <v>268.8</v>
      </c>
      <c r="L147" s="75">
        <f t="shared" ca="1" si="67"/>
        <v>268.8</v>
      </c>
      <c r="N147" t="s">
        <v>144</v>
      </c>
    </row>
    <row r="148" spans="3:19">
      <c r="C148" s="42"/>
      <c r="D148" s="42"/>
      <c r="E148" s="15"/>
      <c r="F148" s="15"/>
      <c r="G148" s="15"/>
    </row>
    <row r="149" spans="3:19">
      <c r="C149" s="50" t="s">
        <v>64</v>
      </c>
      <c r="D149" s="50"/>
      <c r="E149" s="15"/>
      <c r="F149" s="15"/>
      <c r="G149" s="15"/>
    </row>
    <row r="150" spans="3:19">
      <c r="C150" s="17" t="s">
        <v>103</v>
      </c>
      <c r="D150" s="17"/>
      <c r="E150" s="15">
        <f t="shared" ref="E150" si="68">E57</f>
        <v>103703</v>
      </c>
      <c r="F150" s="15">
        <f t="shared" ref="F150:L150" si="69">F57</f>
        <v>102519</v>
      </c>
      <c r="G150" s="15">
        <f t="shared" si="69"/>
        <v>102067</v>
      </c>
      <c r="H150" s="15">
        <f t="shared" si="69"/>
        <v>102067</v>
      </c>
      <c r="I150" s="15">
        <f t="shared" si="69"/>
        <v>102067</v>
      </c>
      <c r="J150" s="15">
        <f t="shared" si="69"/>
        <v>102067</v>
      </c>
      <c r="K150" s="15">
        <f t="shared" si="69"/>
        <v>102067</v>
      </c>
      <c r="L150" s="15">
        <f t="shared" si="69"/>
        <v>102067</v>
      </c>
      <c r="N150" t="s">
        <v>146</v>
      </c>
    </row>
    <row r="151" spans="3:19">
      <c r="C151" s="17" t="s">
        <v>102</v>
      </c>
      <c r="D151" s="17"/>
      <c r="E151" s="49">
        <f t="shared" ref="E151" si="70">E152/AVERAGE(D150:E150)</f>
        <v>2.101458974185896E-2</v>
      </c>
      <c r="F151" s="49">
        <f t="shared" ref="F151" si="71">F152/AVERAGE(E150:F150)</f>
        <v>2.8891612921996681E-2</v>
      </c>
      <c r="G151" s="49">
        <f>G152/AVERAGE(F150:G150)</f>
        <v>3.2993725865895024E-2</v>
      </c>
      <c r="H151" s="107">
        <f>G151</f>
        <v>3.2993725865895024E-2</v>
      </c>
      <c r="I151" s="107">
        <f>H151</f>
        <v>3.2993725865895024E-2</v>
      </c>
      <c r="J151" s="107">
        <f>I151</f>
        <v>3.2993725865895024E-2</v>
      </c>
      <c r="K151" s="107">
        <f>J151</f>
        <v>3.2993725865895024E-2</v>
      </c>
      <c r="L151" s="107">
        <f>K151</f>
        <v>3.2993725865895024E-2</v>
      </c>
      <c r="N151" t="s">
        <v>122</v>
      </c>
      <c r="S151" s="55"/>
    </row>
    <row r="152" spans="3:19">
      <c r="C152" s="32" t="s">
        <v>148</v>
      </c>
      <c r="D152" s="32"/>
      <c r="E152" s="27">
        <f t="shared" ref="E152" si="72">E142-E147</f>
        <v>2179.2759999999998</v>
      </c>
      <c r="F152" s="27">
        <f>F142-F147</f>
        <v>2979.0430999999999</v>
      </c>
      <c r="G152" s="27">
        <f>G142-G147</f>
        <v>3375.0272</v>
      </c>
      <c r="H152" s="14">
        <f>H151*AVERAGE(G150:H150)</f>
        <v>3367.5706179543072</v>
      </c>
      <c r="I152" s="14">
        <f>I151*AVERAGE(H150:I150)</f>
        <v>3367.5706179543072</v>
      </c>
      <c r="J152" s="14">
        <f>J151*AVERAGE(I150:J150)</f>
        <v>3367.5706179543072</v>
      </c>
      <c r="K152" s="14">
        <f>K151*AVERAGE(J150:K150)</f>
        <v>3367.5706179543072</v>
      </c>
      <c r="L152" s="14">
        <f>L151*AVERAGE(K150:L150)</f>
        <v>3367.5706179543072</v>
      </c>
      <c r="N152" t="s">
        <v>105</v>
      </c>
    </row>
    <row r="153" spans="3:19">
      <c r="F153" s="15"/>
    </row>
    <row r="154" spans="3:19">
      <c r="C154" s="36" t="s">
        <v>41</v>
      </c>
      <c r="D154" s="36"/>
      <c r="F154" s="15"/>
      <c r="G154" s="15"/>
    </row>
    <row r="155" spans="3:19" ht="15" customHeight="1">
      <c r="C155" s="17" t="s">
        <v>106</v>
      </c>
      <c r="D155" s="33">
        <v>1.7299999999999999E-2</v>
      </c>
      <c r="E155" s="34">
        <v>1.9900000000000001E-2</v>
      </c>
      <c r="F155" s="34">
        <v>2.1600000000000001E-2</v>
      </c>
      <c r="G155" s="34">
        <v>2.1899999999999999E-2</v>
      </c>
      <c r="H155" s="89">
        <f>G155</f>
        <v>2.1899999999999999E-2</v>
      </c>
      <c r="I155" s="89">
        <f>H155</f>
        <v>2.1899999999999999E-2</v>
      </c>
      <c r="J155" s="89">
        <f>I155</f>
        <v>2.1899999999999999E-2</v>
      </c>
      <c r="K155" s="89">
        <f>J155</f>
        <v>2.1899999999999999E-2</v>
      </c>
      <c r="L155" s="89">
        <f>K155</f>
        <v>2.1899999999999999E-2</v>
      </c>
      <c r="N155" t="s">
        <v>122</v>
      </c>
    </row>
    <row r="156" spans="3:19" ht="15" customHeight="1">
      <c r="C156" s="17" t="s">
        <v>4</v>
      </c>
      <c r="D156" s="15">
        <f>D23</f>
        <v>3999</v>
      </c>
      <c r="E156" s="15">
        <f>E23</f>
        <v>5201</v>
      </c>
      <c r="F156" s="15">
        <f>F23</f>
        <v>5686</v>
      </c>
      <c r="G156" s="15">
        <f>G23</f>
        <v>4961</v>
      </c>
      <c r="H156" s="23">
        <f ca="1">IF($D$7=1,AVERAGE(G45,H45)*H155,0)</f>
        <v>4386.8465720646718</v>
      </c>
      <c r="I156" s="23">
        <f t="shared" ref="I156:L156" ca="1" si="73">IF($D$7=1,AVERAGE(H45,I45)*I155,0)</f>
        <v>4119.4834223149901</v>
      </c>
      <c r="J156" s="23">
        <f t="shared" ca="1" si="73"/>
        <v>3871.0561664626944</v>
      </c>
      <c r="K156" s="23">
        <f t="shared" ca="1" si="73"/>
        <v>3709.7511405767555</v>
      </c>
      <c r="L156" s="23">
        <f t="shared" ca="1" si="73"/>
        <v>3643.4636987454537</v>
      </c>
      <c r="N156" t="s">
        <v>147</v>
      </c>
    </row>
    <row r="157" spans="3:19">
      <c r="C157" s="38"/>
      <c r="D157" s="38"/>
      <c r="E157" s="49"/>
      <c r="F157" s="49"/>
      <c r="G157" s="49"/>
      <c r="H157" s="49"/>
      <c r="I157" s="49"/>
    </row>
    <row r="158" spans="3:19">
      <c r="C158" s="4" t="s">
        <v>155</v>
      </c>
      <c r="D158" s="4"/>
      <c r="E158" s="4"/>
      <c r="F158" s="4"/>
      <c r="G158" s="4"/>
      <c r="H158" s="4"/>
      <c r="I158" s="4"/>
      <c r="J158" s="4"/>
      <c r="K158" s="4"/>
      <c r="L158" s="4"/>
    </row>
    <row r="159" spans="3:19">
      <c r="C159" s="24"/>
      <c r="D159" s="20">
        <f t="shared" ref="D159:K160" si="74">D14</f>
        <v>2016</v>
      </c>
      <c r="E159" s="20">
        <f t="shared" si="74"/>
        <v>2017</v>
      </c>
      <c r="F159" s="20">
        <f t="shared" si="74"/>
        <v>2018</v>
      </c>
      <c r="G159" s="21">
        <f t="shared" si="74"/>
        <v>2019</v>
      </c>
      <c r="H159" s="21">
        <f t="shared" si="74"/>
        <v>2020</v>
      </c>
      <c r="I159" s="21">
        <f t="shared" si="74"/>
        <v>2021</v>
      </c>
      <c r="J159" s="21">
        <f t="shared" si="74"/>
        <v>2022</v>
      </c>
      <c r="K159" s="21">
        <f t="shared" si="74"/>
        <v>2023</v>
      </c>
      <c r="L159" s="21">
        <f>L14</f>
        <v>2024</v>
      </c>
    </row>
    <row r="160" spans="3:19">
      <c r="C160" s="5"/>
      <c r="D160" s="22">
        <f t="shared" si="74"/>
        <v>42643</v>
      </c>
      <c r="E160" s="22">
        <f t="shared" si="74"/>
        <v>43008</v>
      </c>
      <c r="F160" s="22">
        <f t="shared" si="74"/>
        <v>43372</v>
      </c>
      <c r="G160" s="22">
        <f t="shared" si="74"/>
        <v>43737</v>
      </c>
      <c r="H160" s="22">
        <f t="shared" si="74"/>
        <v>44104</v>
      </c>
      <c r="I160" s="22">
        <f t="shared" si="74"/>
        <v>44469</v>
      </c>
      <c r="J160" s="22">
        <f t="shared" si="74"/>
        <v>44834</v>
      </c>
      <c r="K160" s="22">
        <f t="shared" si="74"/>
        <v>45199</v>
      </c>
      <c r="L160" s="22">
        <f t="shared" ref="L160" si="75">L15</f>
        <v>45565</v>
      </c>
    </row>
    <row r="161" spans="3:14">
      <c r="G161" s="19"/>
      <c r="H161" s="19"/>
      <c r="I161" s="19"/>
      <c r="J161" s="18"/>
      <c r="K161" s="18"/>
    </row>
    <row r="162" spans="3:14">
      <c r="C162" t="s">
        <v>2</v>
      </c>
      <c r="D162" s="15">
        <f t="shared" ref="D162:F162" si="76">D28</f>
        <v>45687</v>
      </c>
      <c r="E162" s="15">
        <f t="shared" si="76"/>
        <v>48351</v>
      </c>
      <c r="F162" s="15">
        <f t="shared" si="76"/>
        <v>59531</v>
      </c>
      <c r="G162" s="15">
        <f>G28</f>
        <v>55256</v>
      </c>
      <c r="H162" s="15">
        <f t="shared" ref="H162:L162" ca="1" si="77">H28</f>
        <v>58068.411791803133</v>
      </c>
      <c r="I162" s="15">
        <f t="shared" ca="1" si="77"/>
        <v>61721.810321792007</v>
      </c>
      <c r="J162" s="15">
        <f t="shared" ca="1" si="77"/>
        <v>65719.301400773867</v>
      </c>
      <c r="K162" s="15">
        <f t="shared" ca="1" si="77"/>
        <v>70080.259438958354</v>
      </c>
      <c r="L162" s="15">
        <f t="shared" ca="1" si="77"/>
        <v>74831.34720758551</v>
      </c>
      <c r="N162" t="s">
        <v>164</v>
      </c>
    </row>
    <row r="163" spans="3:14">
      <c r="C163" t="s">
        <v>156</v>
      </c>
      <c r="D163" s="2">
        <v>5470.82</v>
      </c>
      <c r="E163" s="2">
        <v>5217.2420000000002</v>
      </c>
      <c r="F163" s="2">
        <v>4955.3770000000004</v>
      </c>
      <c r="G163" s="2">
        <v>4617.8340000000007</v>
      </c>
      <c r="H163" s="15">
        <f ca="1">G163+(-H169+H170)/H171</f>
        <v>4415.6042666666672</v>
      </c>
      <c r="I163" s="15">
        <f t="shared" ref="I163:L163" ca="1" si="78">H163+(-I169+I170)/I171</f>
        <v>4226.7366003288953</v>
      </c>
      <c r="J163" s="15">
        <f t="shared" ca="1" si="78"/>
        <v>4050.7544851611069</v>
      </c>
      <c r="K163" s="15">
        <f t="shared" ca="1" si="78"/>
        <v>3887.1242032553955</v>
      </c>
      <c r="L163" s="15">
        <f t="shared" ca="1" si="78"/>
        <v>3735.285297408378</v>
      </c>
      <c r="N163" t="s">
        <v>184</v>
      </c>
    </row>
    <row r="164" spans="3:14">
      <c r="C164" s="13" t="s">
        <v>157</v>
      </c>
      <c r="D164" s="99">
        <f t="shared" ref="D164:F164" si="79">D162/D163</f>
        <v>8.3510333003096431</v>
      </c>
      <c r="E164" s="99">
        <f t="shared" si="79"/>
        <v>9.2675402061088974</v>
      </c>
      <c r="F164" s="99">
        <f t="shared" si="79"/>
        <v>12.0134149228202</v>
      </c>
      <c r="G164" s="99">
        <f t="shared" ref="G164" si="80">G162/G163</f>
        <v>11.965783092246276</v>
      </c>
      <c r="H164" s="99">
        <f ca="1">H162/H163</f>
        <v>13.150728254830428</v>
      </c>
      <c r="I164" s="99">
        <f ca="1">I162/I163</f>
        <v>14.602710355073757</v>
      </c>
      <c r="J164" s="99">
        <f ca="1">J162/J163</f>
        <v>16.223965594932885</v>
      </c>
      <c r="K164" s="99">
        <f ca="1">K162/K163</f>
        <v>18.028819192416702</v>
      </c>
      <c r="L164" s="99">
        <f ca="1">L162/L163</f>
        <v>20.033636322105068</v>
      </c>
      <c r="N164" t="s">
        <v>167</v>
      </c>
    </row>
    <row r="165" spans="3:14">
      <c r="E165" s="2"/>
      <c r="F165" s="2"/>
      <c r="G165" s="2"/>
      <c r="H165" s="15"/>
    </row>
    <row r="166" spans="3:14">
      <c r="C166" t="s">
        <v>158</v>
      </c>
      <c r="D166" s="2">
        <v>5500.2809999999999</v>
      </c>
      <c r="E166" s="2">
        <v>5251.692</v>
      </c>
      <c r="F166" s="2">
        <v>5000.1090000000004</v>
      </c>
      <c r="G166" s="2">
        <v>4648.9129999999996</v>
      </c>
      <c r="H166" s="15">
        <f ca="1">H163+G166-G163</f>
        <v>4446.6832666666651</v>
      </c>
      <c r="I166" s="15">
        <f t="shared" ref="I166:L166" ca="1" si="81">I163+H166-H163</f>
        <v>4257.8156003288932</v>
      </c>
      <c r="J166" s="15">
        <f t="shared" ca="1" si="81"/>
        <v>4081.8334851611053</v>
      </c>
      <c r="K166" s="15">
        <f t="shared" ca="1" si="81"/>
        <v>3918.2032032553939</v>
      </c>
      <c r="L166" s="15">
        <f t="shared" ca="1" si="81"/>
        <v>3766.3642974083768</v>
      </c>
      <c r="N166" t="s">
        <v>168</v>
      </c>
    </row>
    <row r="167" spans="3:14">
      <c r="C167" s="13" t="s">
        <v>159</v>
      </c>
      <c r="D167" s="99">
        <f>D162/D166</f>
        <v>8.3063028961611227</v>
      </c>
      <c r="E167" s="99">
        <f t="shared" ref="E167:F167" si="82">E162/E166</f>
        <v>9.2067470826545037</v>
      </c>
      <c r="F167" s="99">
        <f t="shared" si="82"/>
        <v>11.905940450498179</v>
      </c>
      <c r="G167" s="99">
        <f t="shared" ref="G167" si="83">G162/G166</f>
        <v>11.885789215672569</v>
      </c>
      <c r="H167" s="99">
        <f ca="1">H162/H166</f>
        <v>13.058814471248036</v>
      </c>
      <c r="I167" s="99">
        <f ca="1">I162/I166</f>
        <v>14.496121043152815</v>
      </c>
      <c r="J167" s="99">
        <f ca="1">J162/J166</f>
        <v>16.100436639487267</v>
      </c>
      <c r="K167" s="99">
        <f ca="1">K162/K166</f>
        <v>17.885815462743988</v>
      </c>
      <c r="L167" s="99">
        <f ca="1">L162/L166</f>
        <v>19.868324277361253</v>
      </c>
      <c r="N167" t="s">
        <v>169</v>
      </c>
    </row>
    <row r="168" spans="3:14">
      <c r="H168" s="110"/>
    </row>
    <row r="169" spans="3:14">
      <c r="C169" t="s">
        <v>165</v>
      </c>
      <c r="H169" s="15">
        <f>-(H86)</f>
        <v>67101</v>
      </c>
      <c r="I169" s="15">
        <f t="shared" ref="I169:L169" si="84">-(I86)</f>
        <v>67101</v>
      </c>
      <c r="J169" s="15">
        <f t="shared" si="84"/>
        <v>67101</v>
      </c>
      <c r="K169" s="15">
        <f t="shared" si="84"/>
        <v>67101</v>
      </c>
      <c r="L169" s="15">
        <f t="shared" si="84"/>
        <v>67101</v>
      </c>
      <c r="N169" t="s">
        <v>162</v>
      </c>
    </row>
    <row r="170" spans="3:14">
      <c r="C170" t="s">
        <v>166</v>
      </c>
      <c r="H170" s="23">
        <f ca="1">H32</f>
        <v>6432.08</v>
      </c>
      <c r="I170" s="23">
        <f t="shared" ref="I170:L170" ca="1" si="85">I32</f>
        <v>6875.8935199999996</v>
      </c>
      <c r="J170" s="23">
        <f t="shared" ca="1" si="85"/>
        <v>7350.3301728799988</v>
      </c>
      <c r="K170" s="23">
        <f t="shared" ca="1" si="85"/>
        <v>7857.5029548087186</v>
      </c>
      <c r="L170" s="23">
        <f t="shared" ca="1" si="85"/>
        <v>8399.6706586905202</v>
      </c>
      <c r="N170" t="s">
        <v>163</v>
      </c>
    </row>
    <row r="171" spans="3:14">
      <c r="C171" t="s">
        <v>161</v>
      </c>
      <c r="H171" s="111">
        <v>300</v>
      </c>
      <c r="I171" s="110">
        <f ca="1">H171*(1+I172)</f>
        <v>318.87462606909759</v>
      </c>
      <c r="J171" s="110">
        <f ca="1">I171*(1+J172)</f>
        <v>339.52694437245168</v>
      </c>
      <c r="K171" s="110">
        <f ca="1">J171*(1+K172)</f>
        <v>362.05704931394797</v>
      </c>
      <c r="L171" s="110">
        <f ca="1">K171*(1+L172)</f>
        <v>386.60268930318125</v>
      </c>
      <c r="N171" t="s">
        <v>170</v>
      </c>
    </row>
    <row r="172" spans="3:14">
      <c r="C172" t="s">
        <v>160</v>
      </c>
      <c r="I172" s="112">
        <f ca="1">I162/H162-1</f>
        <v>6.2915420230325259E-2</v>
      </c>
      <c r="J172" s="112">
        <f t="shared" ref="J172:L172" ca="1" si="86">J162/I162-1</f>
        <v>6.4766264277418273E-2</v>
      </c>
      <c r="K172" s="112">
        <f t="shared" ca="1" si="86"/>
        <v>6.6357340160848599E-2</v>
      </c>
      <c r="L172" s="112">
        <f t="shared" ca="1" si="86"/>
        <v>6.7794951198282494E-2</v>
      </c>
      <c r="N172" t="s">
        <v>183</v>
      </c>
    </row>
    <row r="173" spans="3:14">
      <c r="N173" s="16" t="s">
        <v>185</v>
      </c>
    </row>
    <row r="174" spans="3:14">
      <c r="C174" s="13" t="s">
        <v>179</v>
      </c>
      <c r="E174" s="13"/>
      <c r="F174" s="13"/>
      <c r="G174" s="95" t="s">
        <v>186</v>
      </c>
      <c r="H174" s="113">
        <f>D11</f>
        <v>4443.2650000000003</v>
      </c>
      <c r="I174" s="27">
        <f ca="1">H176</f>
        <v>4241.0352666666668</v>
      </c>
      <c r="J174" s="27">
        <f t="shared" ref="J174:L174" ca="1" si="87">I176</f>
        <v>4052.1676003288953</v>
      </c>
      <c r="K174" s="27">
        <f t="shared" ca="1" si="87"/>
        <v>3876.185485161107</v>
      </c>
      <c r="L174" s="27">
        <f t="shared" ca="1" si="87"/>
        <v>3712.555203255396</v>
      </c>
      <c r="N174" t="s">
        <v>187</v>
      </c>
    </row>
    <row r="175" spans="3:14">
      <c r="C175" t="s">
        <v>180</v>
      </c>
      <c r="H175" s="15">
        <f ca="1">(-H169+H170)/H171</f>
        <v>-202.22973333333331</v>
      </c>
      <c r="I175" s="15">
        <f t="shared" ref="I175:L175" ca="1" si="88">(-I169+I170)/I171</f>
        <v>-188.86766633777157</v>
      </c>
      <c r="J175" s="15">
        <f t="shared" ca="1" si="88"/>
        <v>-175.98211516778818</v>
      </c>
      <c r="K175" s="15">
        <f t="shared" ca="1" si="88"/>
        <v>-163.63028190571117</v>
      </c>
      <c r="L175" s="15">
        <f t="shared" ca="1" si="88"/>
        <v>-151.83890584701746</v>
      </c>
      <c r="N175" t="s">
        <v>188</v>
      </c>
    </row>
    <row r="176" spans="3:14">
      <c r="C176" t="s">
        <v>181</v>
      </c>
      <c r="H176" s="15">
        <f ca="1">SUM(H174:H175)</f>
        <v>4241.0352666666668</v>
      </c>
      <c r="I176" s="15">
        <f t="shared" ref="I176:L176" ca="1" si="89">SUM(I174:I175)</f>
        <v>4052.1676003288953</v>
      </c>
      <c r="J176" s="15">
        <f t="shared" ca="1" si="89"/>
        <v>3876.185485161107</v>
      </c>
      <c r="K176" s="15">
        <f t="shared" ca="1" si="89"/>
        <v>3712.555203255396</v>
      </c>
      <c r="L176" s="15">
        <f t="shared" ca="1" si="89"/>
        <v>3560.7162974083785</v>
      </c>
      <c r="N176" t="s">
        <v>189</v>
      </c>
    </row>
    <row r="177" spans="3:14">
      <c r="C177" s="13" t="s">
        <v>182</v>
      </c>
      <c r="E177" s="13"/>
      <c r="F177" s="13"/>
      <c r="G177" s="13"/>
      <c r="H177" s="27">
        <f ca="1">AVERAGE(H176,H174)</f>
        <v>4342.1501333333335</v>
      </c>
      <c r="I177" s="27">
        <f t="shared" ref="I177:L177" ca="1" si="90">AVERAGE(I176,I174)</f>
        <v>4146.6014334977808</v>
      </c>
      <c r="J177" s="27">
        <f t="shared" ca="1" si="90"/>
        <v>3964.1765427450009</v>
      </c>
      <c r="K177" s="27">
        <f t="shared" ca="1" si="90"/>
        <v>3794.3703442082515</v>
      </c>
      <c r="L177" s="27">
        <f t="shared" ca="1" si="90"/>
        <v>3636.6357503318873</v>
      </c>
      <c r="N177" t="s">
        <v>190</v>
      </c>
    </row>
    <row r="178" spans="3:14">
      <c r="N178" s="16"/>
    </row>
    <row r="179" spans="3:14">
      <c r="C179" s="4" t="s">
        <v>73</v>
      </c>
      <c r="D179" s="4"/>
      <c r="E179" s="4"/>
      <c r="F179" s="4"/>
      <c r="G179" s="4"/>
      <c r="H179" s="4"/>
      <c r="I179" s="4"/>
      <c r="J179" s="4"/>
      <c r="K179" s="4"/>
      <c r="L179" s="4"/>
    </row>
    <row r="180" spans="3:14" ht="15" thickBot="1"/>
    <row r="181" spans="3:14" ht="15" thickBot="1">
      <c r="C181" t="s">
        <v>153</v>
      </c>
      <c r="D181" s="223" t="str">
        <f>L5</f>
        <v>Base case</v>
      </c>
      <c r="G181" s="81" t="s">
        <v>152</v>
      </c>
      <c r="H181" s="21">
        <f t="shared" ref="H181:L182" si="91">H14</f>
        <v>2020</v>
      </c>
      <c r="I181" s="21">
        <f t="shared" si="91"/>
        <v>2021</v>
      </c>
      <c r="J181" s="21">
        <f t="shared" si="91"/>
        <v>2022</v>
      </c>
      <c r="K181" s="21">
        <f t="shared" si="91"/>
        <v>2023</v>
      </c>
      <c r="L181" s="21">
        <f t="shared" si="91"/>
        <v>2024</v>
      </c>
    </row>
    <row r="182" spans="3:14">
      <c r="G182" s="76" t="s">
        <v>151</v>
      </c>
      <c r="H182" s="22">
        <f t="shared" si="91"/>
        <v>44104</v>
      </c>
      <c r="I182" s="22">
        <f t="shared" si="91"/>
        <v>44469</v>
      </c>
      <c r="J182" s="22">
        <f t="shared" si="91"/>
        <v>44834</v>
      </c>
      <c r="K182" s="22">
        <f t="shared" si="91"/>
        <v>45199</v>
      </c>
      <c r="L182" s="22">
        <f t="shared" si="91"/>
        <v>45565</v>
      </c>
    </row>
    <row r="183" spans="3:14">
      <c r="C183" s="17" t="s">
        <v>1</v>
      </c>
      <c r="G183" s="224" t="str">
        <f ca="1">OFFSET(G$188,MATCH($L$5,$C$189:$C$191,0)+MATCH($C183,$C$188:$C$203,0)-1,0)</f>
        <v>NM</v>
      </c>
      <c r="H183" s="3">
        <f ca="1">OFFSET(H$188,MATCH($L$5,$C$189:$C$191,0)+MATCH($C183,$C$188:$C$203,0)-1,0)</f>
        <v>0.06</v>
      </c>
      <c r="I183" s="3">
        <f t="shared" ref="I183:L186" ca="1" si="92">OFFSET(I$188,MATCH($L$5,$C$189:$C$191,0)+MATCH($C183,$C$188:$C$203,0)-1,0)</f>
        <v>6.9000000000000006E-2</v>
      </c>
      <c r="J183" s="3">
        <f t="shared" ca="1" si="92"/>
        <v>6.9000000000000006E-2</v>
      </c>
      <c r="K183" s="3">
        <f t="shared" ca="1" si="92"/>
        <v>6.9000000000000006E-2</v>
      </c>
      <c r="L183" s="3">
        <f t="shared" ca="1" si="92"/>
        <v>6.9000000000000006E-2</v>
      </c>
    </row>
    <row r="184" spans="3:14">
      <c r="C184" s="17" t="s">
        <v>171</v>
      </c>
      <c r="G184" s="224" t="str">
        <f t="shared" ref="G184:H186" ca="1" si="93">OFFSET(G$188,MATCH($L$5,$C$189:$C$191,0)+MATCH($C184,$C$188:$C$203,0)-1,0)</f>
        <v>NM</v>
      </c>
      <c r="H184" s="3">
        <f t="shared" ca="1" si="93"/>
        <v>0.378</v>
      </c>
      <c r="I184" s="3">
        <f t="shared" ca="1" si="92"/>
        <v>0.378</v>
      </c>
      <c r="J184" s="3">
        <f t="shared" ca="1" si="92"/>
        <v>0.378</v>
      </c>
      <c r="K184" s="3">
        <f t="shared" ca="1" si="92"/>
        <v>0.378</v>
      </c>
      <c r="L184" s="3">
        <f t="shared" ca="1" si="92"/>
        <v>0.378</v>
      </c>
    </row>
    <row r="185" spans="3:14">
      <c r="C185" s="17" t="s">
        <v>172</v>
      </c>
      <c r="G185" s="224" t="str">
        <f t="shared" ca="1" si="93"/>
        <v>NM</v>
      </c>
      <c r="H185" s="3">
        <f t="shared" ca="1" si="93"/>
        <v>6.2E-2</v>
      </c>
      <c r="I185" s="3">
        <f t="shared" ca="1" si="92"/>
        <v>6.2E-2</v>
      </c>
      <c r="J185" s="3">
        <f t="shared" ca="1" si="92"/>
        <v>6.2E-2</v>
      </c>
      <c r="K185" s="3">
        <f t="shared" ca="1" si="92"/>
        <v>6.2E-2</v>
      </c>
      <c r="L185" s="3">
        <f t="shared" ca="1" si="92"/>
        <v>6.2E-2</v>
      </c>
    </row>
    <row r="186" spans="3:14">
      <c r="C186" s="17" t="s">
        <v>174</v>
      </c>
      <c r="G186" s="224" t="str">
        <f t="shared" ca="1" si="93"/>
        <v>NM</v>
      </c>
      <c r="H186" s="3">
        <f t="shared" ca="1" si="93"/>
        <v>7.0000000000000007E-2</v>
      </c>
      <c r="I186" s="3">
        <f t="shared" ca="1" si="92"/>
        <v>7.0000000000000007E-2</v>
      </c>
      <c r="J186" s="3">
        <f t="shared" ca="1" si="92"/>
        <v>7.0000000000000007E-2</v>
      </c>
      <c r="K186" s="3">
        <f t="shared" ca="1" si="92"/>
        <v>7.0000000000000007E-2</v>
      </c>
      <c r="L186" s="3">
        <f t="shared" ca="1" si="92"/>
        <v>7.0000000000000007E-2</v>
      </c>
    </row>
    <row r="187" spans="3:14">
      <c r="G187" s="77"/>
    </row>
    <row r="188" spans="3:14">
      <c r="C188" s="32" t="s">
        <v>1</v>
      </c>
      <c r="G188" s="77"/>
    </row>
    <row r="189" spans="3:14">
      <c r="C189" s="42" t="s">
        <v>76</v>
      </c>
      <c r="G189" s="78">
        <v>2.5000000000000001E-2</v>
      </c>
      <c r="H189" s="18">
        <f>H190+$G$189</f>
        <v>8.4999999999999992E-2</v>
      </c>
      <c r="I189" s="18">
        <f t="shared" ref="I189:L189" si="94">I190+$G$189</f>
        <v>9.4E-2</v>
      </c>
      <c r="J189" s="18">
        <f t="shared" si="94"/>
        <v>9.4E-2</v>
      </c>
      <c r="K189" s="18">
        <f t="shared" si="94"/>
        <v>9.4E-2</v>
      </c>
      <c r="L189" s="18">
        <f t="shared" si="94"/>
        <v>9.4E-2</v>
      </c>
    </row>
    <row r="190" spans="3:14">
      <c r="C190" s="42" t="s">
        <v>75</v>
      </c>
      <c r="G190" s="79" t="s">
        <v>150</v>
      </c>
      <c r="H190" s="19">
        <v>0.06</v>
      </c>
      <c r="I190" s="19">
        <v>6.9000000000000006E-2</v>
      </c>
      <c r="J190" s="19">
        <f t="shared" ref="J190" si="95">I190</f>
        <v>6.9000000000000006E-2</v>
      </c>
      <c r="K190" s="19">
        <f t="shared" ref="K190" si="96">J190</f>
        <v>6.9000000000000006E-2</v>
      </c>
      <c r="L190" s="19">
        <f t="shared" ref="L190" si="97">K190</f>
        <v>6.9000000000000006E-2</v>
      </c>
    </row>
    <row r="191" spans="3:14">
      <c r="C191" s="42" t="s">
        <v>77</v>
      </c>
      <c r="G191" s="78">
        <v>-2.5000000000000001E-2</v>
      </c>
      <c r="H191" s="18">
        <f>H190+$G$191</f>
        <v>3.4999999999999996E-2</v>
      </c>
      <c r="I191" s="18">
        <f t="shared" ref="I191:L191" si="98">I190+$G$191</f>
        <v>4.4000000000000004E-2</v>
      </c>
      <c r="J191" s="18">
        <f t="shared" si="98"/>
        <v>4.4000000000000004E-2</v>
      </c>
      <c r="K191" s="18">
        <f t="shared" si="98"/>
        <v>4.4000000000000004E-2</v>
      </c>
      <c r="L191" s="18">
        <f t="shared" si="98"/>
        <v>4.4000000000000004E-2</v>
      </c>
    </row>
    <row r="192" spans="3:14">
      <c r="C192" s="32" t="s">
        <v>171</v>
      </c>
      <c r="G192" s="79"/>
      <c r="H192" s="19"/>
      <c r="I192" s="19"/>
      <c r="J192" s="19"/>
      <c r="K192" s="19"/>
      <c r="L192" s="19"/>
    </row>
    <row r="193" spans="3:12">
      <c r="C193" s="42" t="s">
        <v>76</v>
      </c>
      <c r="G193" s="78">
        <v>0.01</v>
      </c>
      <c r="H193" s="18">
        <f>H194+$G$193</f>
        <v>0.38800000000000001</v>
      </c>
      <c r="I193" s="18">
        <f t="shared" ref="I193:L193" si="99">I194+$G$193</f>
        <v>0.38800000000000001</v>
      </c>
      <c r="J193" s="18">
        <f t="shared" si="99"/>
        <v>0.38800000000000001</v>
      </c>
      <c r="K193" s="18">
        <f t="shared" si="99"/>
        <v>0.38800000000000001</v>
      </c>
      <c r="L193" s="18">
        <f t="shared" si="99"/>
        <v>0.38800000000000001</v>
      </c>
    </row>
    <row r="194" spans="3:12">
      <c r="C194" s="42" t="s">
        <v>75</v>
      </c>
      <c r="G194" s="79" t="s">
        <v>150</v>
      </c>
      <c r="H194" s="19">
        <v>0.378</v>
      </c>
      <c r="I194" s="19">
        <v>0.378</v>
      </c>
      <c r="J194" s="19">
        <v>0.378</v>
      </c>
      <c r="K194" s="19">
        <v>0.378</v>
      </c>
      <c r="L194" s="19">
        <v>0.378</v>
      </c>
    </row>
    <row r="195" spans="3:12">
      <c r="C195" s="42" t="s">
        <v>77</v>
      </c>
      <c r="G195" s="78">
        <v>-0.01</v>
      </c>
      <c r="H195" s="18">
        <f>H194+$G$195</f>
        <v>0.36799999999999999</v>
      </c>
      <c r="I195" s="18">
        <f t="shared" ref="I195:L195" si="100">I194+$G$195</f>
        <v>0.36799999999999999</v>
      </c>
      <c r="J195" s="18">
        <f t="shared" si="100"/>
        <v>0.36799999999999999</v>
      </c>
      <c r="K195" s="18">
        <f t="shared" si="100"/>
        <v>0.36799999999999999</v>
      </c>
      <c r="L195" s="18">
        <f t="shared" si="100"/>
        <v>0.36799999999999999</v>
      </c>
    </row>
    <row r="196" spans="3:12">
      <c r="C196" s="32" t="s">
        <v>172</v>
      </c>
      <c r="G196" s="79"/>
      <c r="H196" s="43"/>
      <c r="I196" s="43"/>
      <c r="J196" s="43"/>
      <c r="K196" s="43"/>
      <c r="L196" s="43"/>
    </row>
    <row r="197" spans="3:12">
      <c r="C197" s="42" t="s">
        <v>76</v>
      </c>
      <c r="G197" s="78">
        <v>-0.01</v>
      </c>
      <c r="H197" s="18">
        <f>H198+$G$197</f>
        <v>5.1999999999999998E-2</v>
      </c>
      <c r="I197" s="18">
        <f t="shared" ref="I197:L197" si="101">I198+$G$197</f>
        <v>5.1999999999999998E-2</v>
      </c>
      <c r="J197" s="18">
        <f t="shared" si="101"/>
        <v>5.1999999999999998E-2</v>
      </c>
      <c r="K197" s="18">
        <f t="shared" si="101"/>
        <v>5.1999999999999998E-2</v>
      </c>
      <c r="L197" s="18">
        <f t="shared" si="101"/>
        <v>5.1999999999999998E-2</v>
      </c>
    </row>
    <row r="198" spans="3:12">
      <c r="C198" s="42" t="s">
        <v>75</v>
      </c>
      <c r="G198" s="79" t="s">
        <v>150</v>
      </c>
      <c r="H198" s="19">
        <v>6.2E-2</v>
      </c>
      <c r="I198" s="19">
        <v>6.2E-2</v>
      </c>
      <c r="J198" s="19">
        <v>6.2E-2</v>
      </c>
      <c r="K198" s="19">
        <v>6.2E-2</v>
      </c>
      <c r="L198" s="19">
        <v>6.2E-2</v>
      </c>
    </row>
    <row r="199" spans="3:12">
      <c r="C199" s="42" t="s">
        <v>77</v>
      </c>
      <c r="G199" s="78">
        <v>0.01</v>
      </c>
      <c r="H199" s="18">
        <f>H198+$G$199</f>
        <v>7.1999999999999995E-2</v>
      </c>
      <c r="I199" s="18">
        <f t="shared" ref="I199:L199" si="102">I198+$G$199</f>
        <v>7.1999999999999995E-2</v>
      </c>
      <c r="J199" s="18">
        <f t="shared" si="102"/>
        <v>7.1999999999999995E-2</v>
      </c>
      <c r="K199" s="18">
        <f t="shared" si="102"/>
        <v>7.1999999999999995E-2</v>
      </c>
      <c r="L199" s="18">
        <f t="shared" si="102"/>
        <v>7.1999999999999995E-2</v>
      </c>
    </row>
    <row r="200" spans="3:12">
      <c r="C200" s="32" t="s">
        <v>174</v>
      </c>
      <c r="G200" s="79"/>
      <c r="H200" s="43"/>
      <c r="I200" s="43"/>
      <c r="J200" s="43"/>
      <c r="K200" s="43"/>
      <c r="L200" s="43"/>
    </row>
    <row r="201" spans="3:12">
      <c r="C201" s="42" t="s">
        <v>76</v>
      </c>
      <c r="G201" s="78">
        <v>-0.01</v>
      </c>
      <c r="H201" s="18">
        <f>H202+$G$201</f>
        <v>6.0000000000000005E-2</v>
      </c>
      <c r="I201" s="18">
        <f t="shared" ref="I201:L201" si="103">I202+$G$201</f>
        <v>6.0000000000000005E-2</v>
      </c>
      <c r="J201" s="18">
        <f t="shared" si="103"/>
        <v>6.0000000000000005E-2</v>
      </c>
      <c r="K201" s="18">
        <f t="shared" si="103"/>
        <v>6.0000000000000005E-2</v>
      </c>
      <c r="L201" s="18">
        <f t="shared" si="103"/>
        <v>6.0000000000000005E-2</v>
      </c>
    </row>
    <row r="202" spans="3:12">
      <c r="C202" s="42" t="s">
        <v>75</v>
      </c>
      <c r="G202" s="79" t="s">
        <v>150</v>
      </c>
      <c r="H202" s="19">
        <v>7.0000000000000007E-2</v>
      </c>
      <c r="I202" s="19">
        <v>7.0000000000000007E-2</v>
      </c>
      <c r="J202" s="19">
        <v>7.0000000000000007E-2</v>
      </c>
      <c r="K202" s="19">
        <v>7.0000000000000007E-2</v>
      </c>
      <c r="L202" s="19">
        <v>7.0000000000000007E-2</v>
      </c>
    </row>
    <row r="203" spans="3:12" ht="15" thickBot="1">
      <c r="C203" s="42" t="s">
        <v>77</v>
      </c>
      <c r="G203" s="80">
        <v>0.01</v>
      </c>
      <c r="H203" s="18">
        <f>H202+$G$203</f>
        <v>0.08</v>
      </c>
      <c r="I203" s="18">
        <f t="shared" ref="I203:L203" si="104">I202+$G$203</f>
        <v>0.08</v>
      </c>
      <c r="J203" s="18">
        <f t="shared" si="104"/>
        <v>0.08</v>
      </c>
      <c r="K203" s="18">
        <f t="shared" si="104"/>
        <v>0.08</v>
      </c>
      <c r="L203" s="18">
        <f t="shared" si="104"/>
        <v>0.08</v>
      </c>
    </row>
  </sheetData>
  <conditionalFormatting sqref="C186">
    <cfRule type="expression" dxfId="4" priority="1">
      <formula>#REF!=$C186</formula>
    </cfRule>
  </conditionalFormatting>
  <conditionalFormatting sqref="C200">
    <cfRule type="expression" dxfId="3" priority="2">
      <formula>#REF!=$C200</formula>
    </cfRule>
  </conditionalFormatting>
  <conditionalFormatting sqref="C39:D39">
    <cfRule type="expression" dxfId="2" priority="5">
      <formula>#REF!=$C39</formula>
    </cfRule>
  </conditionalFormatting>
  <dataValidations count="2">
    <dataValidation type="list" allowBlank="1" showInputMessage="1" showErrorMessage="1" sqref="D7" xr:uid="{003E99B1-0363-42AA-8A6B-81FA0C732639}">
      <formula1>"0,1"</formula1>
    </dataValidation>
    <dataValidation type="list" allowBlank="1" showInputMessage="1" showErrorMessage="1" sqref="L5" xr:uid="{23CBF479-53E0-41F3-926F-8D3C8C5B37A0}">
      <formula1>$C$189:$C$191</formula1>
    </dataValidation>
  </dataValidations>
  <pageMargins left="0.7" right="0.7" top="0.75" bottom="0.75" header="0.3" footer="0.3"/>
  <pageSetup scale="30"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Financials </vt:lpstr>
      <vt:lpstr>Simple DCF Empty</vt:lpstr>
      <vt:lpstr>Simple DCF Done</vt:lpstr>
      <vt:lpstr>WACC Empty</vt:lpstr>
      <vt:lpstr>WACC Done</vt:lpstr>
      <vt:lpstr>Shares Empty</vt:lpstr>
      <vt:lpstr>Shares</vt:lpstr>
      <vt:lpstr>DCF 1-Pager</vt:lpstr>
      <vt:lpstr>2019 FSM Update Complete</vt:lpstr>
      <vt:lpstr>Integrated DCF Empty</vt:lpstr>
      <vt:lpstr>Integrated DCF</vt:lpstr>
      <vt:lpstr>'2019 FSM Update Complete'!Print_Area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Wall Street Prep</dc:creator>
  <cp:lastModifiedBy>Connor Button</cp:lastModifiedBy>
  <cp:lastPrinted>2014-05-21T15:17:24Z</cp:lastPrinted>
  <dcterms:created xsi:type="dcterms:W3CDTF">2011-11-04T21:28:06Z</dcterms:created>
  <dcterms:modified xsi:type="dcterms:W3CDTF">2026-01-28T16:33:08Z</dcterms:modified>
</cp:coreProperties>
</file>